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he\Documents\PMI\SAO VICENTE\CADERNO ECONOMICO-FINANCEIRO\"/>
    </mc:Choice>
  </mc:AlternateContent>
  <xr:revisionPtr revIDLastSave="0" documentId="13_ncr:1_{CCC22339-E053-42CE-B2CA-EF33625CD1E3}" xr6:coauthVersionLast="45" xr6:coauthVersionMax="45" xr10:uidLastSave="{00000000-0000-0000-0000-000000000000}"/>
  <bookViews>
    <workbookView xWindow="-108" yWindow="-108" windowWidth="23256" windowHeight="12576" xr2:uid="{785B0E83-25B1-4059-A2A3-2EBC53A3DE11}"/>
  </bookViews>
  <sheets>
    <sheet name="VfM" sheetId="1" r:id="rId1"/>
  </sheets>
  <definedNames>
    <definedName name="_ftn1" localSheetId="0">VfM!$M$4</definedName>
    <definedName name="_ftnref1" localSheetId="0">VfM!$M$1</definedName>
    <definedName name="_Hlk12257215" localSheetId="0">VfM!$M$1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0" i="1" l="1"/>
  <c r="W20" i="1"/>
  <c r="X20" i="1"/>
  <c r="Y20" i="1"/>
  <c r="Z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G20" i="1"/>
  <c r="H30" i="1" l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G30" i="1"/>
  <c r="O29" i="1"/>
  <c r="P29" i="1"/>
  <c r="Q29" i="1"/>
  <c r="R29" i="1"/>
  <c r="S29" i="1"/>
  <c r="T29" i="1"/>
  <c r="U29" i="1"/>
  <c r="V29" i="1"/>
  <c r="W29" i="1"/>
  <c r="X29" i="1"/>
  <c r="Y29" i="1"/>
  <c r="Z29" i="1"/>
  <c r="H29" i="1"/>
  <c r="I29" i="1"/>
  <c r="J29" i="1"/>
  <c r="K29" i="1"/>
  <c r="L29" i="1"/>
  <c r="M29" i="1"/>
  <c r="N29" i="1"/>
  <c r="G29" i="1"/>
  <c r="V7" i="1"/>
  <c r="Q7" i="1"/>
  <c r="N7" i="1"/>
  <c r="L7" i="1"/>
  <c r="J7" i="1"/>
  <c r="I7" i="1"/>
  <c r="H7" i="1"/>
  <c r="G7" i="1"/>
  <c r="K7" i="1"/>
  <c r="M7" i="1"/>
  <c r="O7" i="1"/>
  <c r="P7" i="1"/>
  <c r="R7" i="1"/>
  <c r="S7" i="1"/>
  <c r="T7" i="1"/>
  <c r="U7" i="1"/>
  <c r="W7" i="1"/>
  <c r="X7" i="1"/>
  <c r="Y7" i="1"/>
  <c r="Z7" i="1"/>
  <c r="H36" i="1" l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G36" i="1"/>
  <c r="J33" i="1"/>
  <c r="K33" i="1"/>
  <c r="E21" i="1"/>
  <c r="F21" i="1"/>
  <c r="E24" i="1"/>
  <c r="E23" i="1" s="1"/>
  <c r="E19" i="1"/>
  <c r="E30" i="1"/>
  <c r="E29" i="1"/>
  <c r="E16" i="1"/>
  <c r="E15" i="1" s="1"/>
  <c r="E8" i="1"/>
  <c r="E9" i="1"/>
  <c r="H33" i="1"/>
  <c r="I33" i="1"/>
  <c r="G33" i="1"/>
  <c r="F30" i="1"/>
  <c r="F29" i="1"/>
  <c r="F19" i="1"/>
  <c r="F16" i="1"/>
  <c r="F15" i="1" s="1"/>
  <c r="F9" i="1"/>
  <c r="F8" i="1"/>
  <c r="F36" i="1" l="1"/>
  <c r="F7" i="1"/>
  <c r="E36" i="1"/>
  <c r="E7" i="1"/>
  <c r="F33" i="1"/>
  <c r="E33" i="1"/>
  <c r="F24" i="1"/>
  <c r="F23" i="1" s="1"/>
  <c r="F32" i="1" l="1"/>
  <c r="E32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H28" i="1"/>
  <c r="I28" i="1"/>
  <c r="J28" i="1"/>
  <c r="K28" i="1"/>
  <c r="L28" i="1"/>
  <c r="G28" i="1"/>
  <c r="E28" i="1" l="1"/>
  <c r="F28" i="1"/>
  <c r="F27" i="1" s="1"/>
  <c r="F20" i="1" l="1"/>
  <c r="F18" i="1" s="1"/>
  <c r="F13" i="1" s="1"/>
  <c r="E20" i="1"/>
  <c r="E18" i="1" s="1"/>
  <c r="E13" i="1" s="1"/>
  <c r="E3" i="1" s="1"/>
  <c r="E2" i="1" s="1"/>
</calcChain>
</file>

<file path=xl/sharedStrings.xml><?xml version="1.0" encoding="utf-8"?>
<sst xmlns="http://schemas.openxmlformats.org/spreadsheetml/2006/main" count="36" uniqueCount="36">
  <si>
    <t>Modelo 1: Contratação de PPP</t>
  </si>
  <si>
    <t>VPL</t>
  </si>
  <si>
    <t>Total</t>
  </si>
  <si>
    <t>Fluxo de Receitas</t>
  </si>
  <si>
    <t>Contraprestação</t>
  </si>
  <si>
    <t>Modelo 2: Tradicional</t>
  </si>
  <si>
    <t>Gastos Públicos Licitação Tradicional</t>
  </si>
  <si>
    <t>Investimetos e Reinvestimentos</t>
  </si>
  <si>
    <t>Investimentos e Reinvestimentos</t>
  </si>
  <si>
    <t>Despesas</t>
  </si>
  <si>
    <t>Contrato de Operação da Rede de IP</t>
  </si>
  <si>
    <t>Fiscalização do Contrato</t>
  </si>
  <si>
    <t xml:space="preserve">Escopo adicional: </t>
  </si>
  <si>
    <t>Fatores Adicionais</t>
  </si>
  <si>
    <t>A</t>
  </si>
  <si>
    <t>Transferência do Riscos</t>
  </si>
  <si>
    <t>A.1</t>
  </si>
  <si>
    <t>Aditivos nos Contratos</t>
  </si>
  <si>
    <t>Aditivos Serviços</t>
  </si>
  <si>
    <t>B</t>
  </si>
  <si>
    <t>Qualidade e Eficiencia do Modelo</t>
  </si>
  <si>
    <t>B.1</t>
  </si>
  <si>
    <t>Atraso na captura dos Benefícios</t>
  </si>
  <si>
    <t>B.1.1</t>
  </si>
  <si>
    <t>Captura de Benefícios PPP</t>
  </si>
  <si>
    <t>B.1.2</t>
  </si>
  <si>
    <t>Captura de Benefícios Modelo Tradicional</t>
  </si>
  <si>
    <t xml:space="preserve">Aditivos Investimentos </t>
  </si>
  <si>
    <t>Operação do CCO + Telegestão</t>
  </si>
  <si>
    <t xml:space="preserve">Licitações </t>
  </si>
  <si>
    <t>B.2</t>
  </si>
  <si>
    <t>Perdas por falta de Sinergia na operação</t>
  </si>
  <si>
    <t>Taxa de Desconto (WACC)</t>
  </si>
  <si>
    <t>Beneficio Quantitativo (R$)</t>
  </si>
  <si>
    <t>Beneficio Quantitativo (%)</t>
  </si>
  <si>
    <t>Agente Custodiante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</si>
</sst>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&quot;Ano&quot;\ 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9"/>
      <color theme="1" tint="0.1499984740745262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B0F0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0" fillId="2" borderId="4" xfId="0" applyFill="1" applyBorder="1"/>
    <xf numFmtId="164" fontId="6" fillId="2" borderId="2" xfId="0" applyNumberFormat="1" applyFont="1" applyFill="1" applyBorder="1" applyProtection="1">
      <protection hidden="1"/>
    </xf>
    <xf numFmtId="164" fontId="6" fillId="2" borderId="11" xfId="0" applyNumberFormat="1" applyFont="1" applyFill="1" applyBorder="1" applyProtection="1">
      <protection hidden="1"/>
    </xf>
    <xf numFmtId="0" fontId="5" fillId="2" borderId="9" xfId="0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5" fillId="2" borderId="11" xfId="0" applyFont="1" applyFill="1" applyBorder="1" applyProtection="1">
      <protection hidden="1"/>
    </xf>
    <xf numFmtId="41" fontId="0" fillId="2" borderId="0" xfId="0" applyNumberFormat="1" applyFill="1" applyBorder="1"/>
    <xf numFmtId="41" fontId="2" fillId="2" borderId="0" xfId="0" applyNumberFormat="1" applyFont="1" applyFill="1" applyBorder="1" applyProtection="1">
      <protection hidden="1"/>
    </xf>
    <xf numFmtId="0" fontId="0" fillId="2" borderId="0" xfId="0" applyFill="1" applyBorder="1"/>
    <xf numFmtId="41" fontId="10" fillId="2" borderId="0" xfId="0" applyNumberFormat="1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10" fontId="4" fillId="2" borderId="10" xfId="0" applyNumberFormat="1" applyFont="1" applyFill="1" applyBorder="1" applyProtection="1">
      <protection hidden="1"/>
    </xf>
    <xf numFmtId="10" fontId="3" fillId="2" borderId="10" xfId="0" applyNumberFormat="1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43" fontId="8" fillId="4" borderId="0" xfId="0" applyNumberFormat="1" applyFont="1" applyFill="1"/>
    <xf numFmtId="10" fontId="8" fillId="4" borderId="0" xfId="0" applyNumberFormat="1" applyFont="1" applyFill="1"/>
    <xf numFmtId="0" fontId="8" fillId="4" borderId="0" xfId="0" applyFont="1" applyFill="1"/>
    <xf numFmtId="0" fontId="9" fillId="4" borderId="0" xfId="0" applyFont="1" applyFill="1"/>
    <xf numFmtId="41" fontId="7" fillId="3" borderId="0" xfId="0" applyNumberFormat="1" applyFont="1" applyFill="1" applyProtection="1">
      <protection hidden="1"/>
    </xf>
    <xf numFmtId="165" fontId="6" fillId="0" borderId="2" xfId="0" applyNumberFormat="1" applyFont="1" applyBorder="1" applyAlignment="1" applyProtection="1">
      <alignment horizontal="center"/>
      <protection hidden="1"/>
    </xf>
    <xf numFmtId="0" fontId="11" fillId="2" borderId="12" xfId="0" applyFont="1" applyFill="1" applyBorder="1" applyProtection="1">
      <protection hidden="1"/>
    </xf>
    <xf numFmtId="0" fontId="11" fillId="2" borderId="13" xfId="0" applyFont="1" applyFill="1" applyBorder="1" applyProtection="1">
      <protection hidden="1"/>
    </xf>
    <xf numFmtId="0" fontId="11" fillId="2" borderId="3" xfId="0" applyFont="1" applyFill="1" applyBorder="1" applyProtection="1">
      <protection hidden="1"/>
    </xf>
    <xf numFmtId="164" fontId="11" fillId="2" borderId="14" xfId="0" applyNumberFormat="1" applyFont="1" applyFill="1" applyBorder="1" applyProtection="1">
      <protection hidden="1"/>
    </xf>
    <xf numFmtId="164" fontId="11" fillId="2" borderId="15" xfId="2" applyFont="1" applyFill="1" applyBorder="1" applyProtection="1">
      <protection hidden="1"/>
    </xf>
    <xf numFmtId="41" fontId="12" fillId="2" borderId="0" xfId="0" applyNumberFormat="1" applyFont="1" applyFill="1" applyAlignment="1">
      <alignment horizontal="center" vertical="center"/>
    </xf>
    <xf numFmtId="41" fontId="12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left"/>
      <protection hidden="1"/>
    </xf>
    <xf numFmtId="0" fontId="13" fillId="2" borderId="0" xfId="0" applyFont="1" applyFill="1" applyBorder="1" applyProtection="1">
      <protection hidden="1"/>
    </xf>
    <xf numFmtId="0" fontId="13" fillId="2" borderId="4" xfId="0" applyFont="1" applyFill="1" applyBorder="1" applyProtection="1">
      <protection hidden="1"/>
    </xf>
    <xf numFmtId="164" fontId="13" fillId="2" borderId="15" xfId="2" applyFont="1" applyFill="1" applyBorder="1" applyProtection="1">
      <protection hidden="1"/>
    </xf>
    <xf numFmtId="164" fontId="11" fillId="2" borderId="1" xfId="2" applyFont="1" applyFill="1" applyBorder="1" applyProtection="1">
      <protection hidden="1"/>
    </xf>
    <xf numFmtId="41" fontId="14" fillId="3" borderId="1" xfId="0" applyNumberFormat="1" applyFont="1" applyFill="1" applyBorder="1" applyAlignment="1" applyProtection="1">
      <alignment horizontal="center" vertical="center"/>
      <protection hidden="1"/>
    </xf>
    <xf numFmtId="41" fontId="14" fillId="3" borderId="0" xfId="0" applyNumberFormat="1" applyFont="1" applyFill="1" applyBorder="1" applyAlignment="1" applyProtection="1">
      <alignment horizontal="center" vertical="center"/>
      <protection hidden="1"/>
    </xf>
    <xf numFmtId="41" fontId="14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Protection="1">
      <protection hidden="1"/>
    </xf>
    <xf numFmtId="41" fontId="15" fillId="3" borderId="1" xfId="0" applyNumberFormat="1" applyFont="1" applyFill="1" applyBorder="1" applyAlignment="1">
      <alignment horizontal="center" vertical="center"/>
    </xf>
    <xf numFmtId="41" fontId="15" fillId="3" borderId="0" xfId="0" applyNumberFormat="1" applyFont="1" applyFill="1" applyBorder="1" applyAlignment="1">
      <alignment horizontal="center" vertical="center"/>
    </xf>
    <xf numFmtId="41" fontId="15" fillId="3" borderId="4" xfId="0" applyNumberFormat="1" applyFont="1" applyFill="1" applyBorder="1" applyAlignment="1">
      <alignment horizontal="center" vertical="center"/>
    </xf>
    <xf numFmtId="0" fontId="13" fillId="2" borderId="15" xfId="0" applyFont="1" applyFill="1" applyBorder="1" applyProtection="1">
      <protection hidden="1"/>
    </xf>
    <xf numFmtId="0" fontId="16" fillId="2" borderId="0" xfId="0" applyFont="1" applyFill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Protection="1">
      <protection hidden="1"/>
    </xf>
    <xf numFmtId="0" fontId="18" fillId="2" borderId="7" xfId="0" applyFont="1" applyFill="1" applyBorder="1" applyProtection="1">
      <protection hidden="1"/>
    </xf>
    <xf numFmtId="10" fontId="19" fillId="2" borderId="8" xfId="0" applyNumberFormat="1" applyFont="1" applyFill="1" applyBorder="1" applyProtection="1">
      <protection hidden="1"/>
    </xf>
    <xf numFmtId="10" fontId="18" fillId="2" borderId="5" xfId="0" applyNumberFormat="1" applyFont="1" applyFill="1" applyBorder="1" applyProtection="1">
      <protection hidden="1"/>
    </xf>
    <xf numFmtId="0" fontId="18" fillId="2" borderId="5" xfId="0" applyFont="1" applyFill="1" applyBorder="1" applyProtection="1">
      <protection hidden="1"/>
    </xf>
    <xf numFmtId="0" fontId="13" fillId="2" borderId="9" xfId="0" applyFont="1" applyFill="1" applyBorder="1" applyProtection="1">
      <protection hidden="1"/>
    </xf>
    <xf numFmtId="0" fontId="13" fillId="2" borderId="10" xfId="0" applyFont="1" applyFill="1" applyBorder="1" applyProtection="1">
      <protection hidden="1"/>
    </xf>
    <xf numFmtId="0" fontId="13" fillId="2" borderId="11" xfId="0" applyFont="1" applyFill="1" applyBorder="1" applyProtection="1">
      <protection hidden="1"/>
    </xf>
    <xf numFmtId="0" fontId="13" fillId="2" borderId="2" xfId="0" applyFont="1" applyFill="1" applyBorder="1" applyProtection="1">
      <protection hidden="1"/>
    </xf>
    <xf numFmtId="43" fontId="11" fillId="2" borderId="14" xfId="1" applyFont="1" applyFill="1" applyBorder="1" applyProtection="1">
      <protection hidden="1"/>
    </xf>
    <xf numFmtId="0" fontId="11" fillId="2" borderId="1" xfId="0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1" fillId="2" borderId="4" xfId="0" applyFont="1" applyFill="1" applyBorder="1" applyProtection="1">
      <protection hidden="1"/>
    </xf>
    <xf numFmtId="0" fontId="13" fillId="2" borderId="1" xfId="0" applyFont="1" applyFill="1" applyBorder="1" applyAlignment="1" applyProtection="1">
      <alignment horizontal="left" indent="1"/>
      <protection hidden="1"/>
    </xf>
    <xf numFmtId="41" fontId="15" fillId="3" borderId="1" xfId="0" applyNumberFormat="1" applyFont="1" applyFill="1" applyBorder="1" applyAlignment="1" applyProtection="1">
      <alignment horizontal="center" vertical="center"/>
      <protection hidden="1"/>
    </xf>
    <xf numFmtId="41" fontId="15" fillId="3" borderId="0" xfId="0" applyNumberFormat="1" applyFont="1" applyFill="1" applyAlignment="1" applyProtection="1">
      <alignment horizontal="center" vertical="center"/>
      <protection hidden="1"/>
    </xf>
    <xf numFmtId="41" fontId="15" fillId="3" borderId="4" xfId="0" applyNumberFormat="1" applyFont="1" applyFill="1" applyBorder="1" applyAlignment="1" applyProtection="1">
      <alignment horizontal="center" vertical="center"/>
      <protection hidden="1"/>
    </xf>
    <xf numFmtId="164" fontId="13" fillId="2" borderId="1" xfId="2" applyFont="1" applyFill="1" applyBorder="1" applyProtection="1">
      <protection hidden="1"/>
    </xf>
    <xf numFmtId="41" fontId="14" fillId="3" borderId="0" xfId="0" applyNumberFormat="1" applyFont="1" applyFill="1" applyAlignment="1" applyProtection="1">
      <alignment horizontal="center" vertical="center"/>
      <protection hidden="1"/>
    </xf>
    <xf numFmtId="41" fontId="16" fillId="2" borderId="1" xfId="0" applyNumberFormat="1" applyFont="1" applyFill="1" applyBorder="1" applyAlignment="1">
      <alignment horizontal="center" vertical="center"/>
    </xf>
    <xf numFmtId="41" fontId="16" fillId="2" borderId="0" xfId="0" applyNumberFormat="1" applyFont="1" applyFill="1" applyBorder="1" applyAlignment="1">
      <alignment horizontal="center" vertical="center"/>
    </xf>
    <xf numFmtId="41" fontId="16" fillId="2" borderId="4" xfId="0" applyNumberFormat="1" applyFont="1" applyFill="1" applyBorder="1" applyAlignment="1">
      <alignment horizontal="center" vertical="center"/>
    </xf>
    <xf numFmtId="41" fontId="12" fillId="2" borderId="1" xfId="0" applyNumberFormat="1" applyFont="1" applyFill="1" applyBorder="1" applyAlignment="1" applyProtection="1">
      <alignment horizontal="center" vertical="center"/>
      <protection hidden="1"/>
    </xf>
    <xf numFmtId="41" fontId="12" fillId="2" borderId="0" xfId="0" applyNumberFormat="1" applyFont="1" applyFill="1" applyAlignment="1" applyProtection="1">
      <alignment horizontal="center" vertical="center"/>
      <protection hidden="1"/>
    </xf>
    <xf numFmtId="41" fontId="12" fillId="2" borderId="4" xfId="0" applyNumberFormat="1" applyFont="1" applyFill="1" applyBorder="1" applyAlignment="1" applyProtection="1">
      <alignment horizontal="center" vertical="center"/>
      <protection hidden="1"/>
    </xf>
    <xf numFmtId="41" fontId="16" fillId="2" borderId="0" xfId="0" applyNumberFormat="1" applyFont="1" applyFill="1" applyAlignment="1">
      <alignment horizontal="center" vertical="center"/>
    </xf>
    <xf numFmtId="0" fontId="12" fillId="2" borderId="0" xfId="0" applyFont="1" applyFill="1" applyBorder="1" applyAlignment="1" applyProtection="1">
      <alignment horizontal="left" wrapText="1"/>
      <protection hidden="1"/>
    </xf>
    <xf numFmtId="41" fontId="12" fillId="2" borderId="1" xfId="0" applyNumberFormat="1" applyFont="1" applyFill="1" applyBorder="1" applyAlignment="1">
      <alignment horizontal="center" vertical="center"/>
    </xf>
    <xf numFmtId="41" fontId="12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/>
      <protection hidden="1"/>
    </xf>
    <xf numFmtId="164" fontId="11" fillId="2" borderId="15" xfId="0" applyNumberFormat="1" applyFont="1" applyFill="1" applyBorder="1" applyProtection="1">
      <protection hidden="1"/>
    </xf>
    <xf numFmtId="0" fontId="16" fillId="2" borderId="1" xfId="0" applyFont="1" applyFill="1" applyBorder="1" applyProtection="1">
      <protection hidden="1"/>
    </xf>
    <xf numFmtId="0" fontId="13" fillId="2" borderId="0" xfId="0" applyFont="1" applyFill="1" applyBorder="1" applyAlignment="1" applyProtection="1">
      <alignment horizontal="left" indent="1"/>
      <protection hidden="1"/>
    </xf>
    <xf numFmtId="41" fontId="20" fillId="2" borderId="1" xfId="0" applyNumberFormat="1" applyFont="1" applyFill="1" applyBorder="1" applyAlignment="1" applyProtection="1">
      <alignment horizontal="center" vertical="center"/>
      <protection hidden="1"/>
    </xf>
    <xf numFmtId="41" fontId="20" fillId="2" borderId="0" xfId="0" applyNumberFormat="1" applyFont="1" applyFill="1" applyBorder="1" applyAlignment="1" applyProtection="1">
      <alignment horizontal="center" vertical="center"/>
      <protection hidden="1"/>
    </xf>
    <xf numFmtId="41" fontId="20" fillId="2" borderId="4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wrapText="1"/>
      <protection hidden="1"/>
    </xf>
    <xf numFmtId="0" fontId="13" fillId="2" borderId="0" xfId="0" applyFont="1" applyFill="1" applyBorder="1" applyAlignment="1" applyProtection="1">
      <alignment wrapText="1"/>
      <protection hidden="1"/>
    </xf>
    <xf numFmtId="0" fontId="13" fillId="2" borderId="1" xfId="0" applyFont="1" applyFill="1" applyBorder="1" applyAlignment="1" applyProtection="1">
      <alignment horizontal="left" indent="2"/>
      <protection hidden="1"/>
    </xf>
    <xf numFmtId="0" fontId="13" fillId="2" borderId="0" xfId="0" applyFont="1" applyFill="1" applyBorder="1" applyAlignment="1" applyProtection="1">
      <alignment horizontal="left" wrapText="1" indent="1"/>
      <protection hidden="1"/>
    </xf>
    <xf numFmtId="41" fontId="21" fillId="3" borderId="0" xfId="0" applyNumberFormat="1" applyFont="1" applyFill="1" applyAlignment="1" applyProtection="1">
      <alignment horizontal="center" vertical="center"/>
      <protection hidden="1"/>
    </xf>
    <xf numFmtId="41" fontId="21" fillId="3" borderId="4" xfId="0" applyNumberFormat="1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 applyProtection="1">
      <alignment horizontal="left" indent="1"/>
      <protection hidden="1"/>
    </xf>
    <xf numFmtId="0" fontId="13" fillId="2" borderId="7" xfId="0" applyFont="1" applyFill="1" applyBorder="1" applyAlignment="1" applyProtection="1">
      <alignment wrapText="1"/>
      <protection hidden="1"/>
    </xf>
    <xf numFmtId="0" fontId="16" fillId="2" borderId="7" xfId="0" applyFont="1" applyFill="1" applyBorder="1"/>
    <xf numFmtId="164" fontId="13" fillId="2" borderId="5" xfId="2" applyFont="1" applyFill="1" applyBorder="1" applyProtection="1">
      <protection hidden="1"/>
    </xf>
    <xf numFmtId="41" fontId="16" fillId="2" borderId="6" xfId="0" applyNumberFormat="1" applyFont="1" applyFill="1" applyBorder="1" applyAlignment="1">
      <alignment horizontal="center" vertical="center"/>
    </xf>
    <xf numFmtId="41" fontId="16" fillId="2" borderId="7" xfId="0" applyNumberFormat="1" applyFont="1" applyFill="1" applyBorder="1" applyAlignment="1">
      <alignment horizontal="center" vertical="center"/>
    </xf>
    <xf numFmtId="41" fontId="16" fillId="2" borderId="8" xfId="0" applyNumberFormat="1" applyFont="1" applyFill="1" applyBorder="1" applyAlignment="1">
      <alignment horizontal="center" vertical="center"/>
    </xf>
    <xf numFmtId="9" fontId="9" fillId="2" borderId="0" xfId="0" applyNumberFormat="1" applyFont="1" applyFill="1"/>
    <xf numFmtId="0" fontId="9" fillId="2" borderId="0" xfId="0" applyFont="1" applyFill="1"/>
  </cellXfs>
  <cellStyles count="3">
    <cellStyle name="Comma" xfId="1" builtinId="3"/>
    <cellStyle name="Comma 2" xfId="2" xr:uid="{4A5140C3-61DE-4D33-BB3A-FBA964E4963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15FFE-B86E-4305-8042-5E7231B9F6ED}">
  <dimension ref="A2:AB41"/>
  <sheetViews>
    <sheetView tabSelected="1" zoomScale="80" zoomScaleNormal="80" workbookViewId="0">
      <selection activeCell="G3" sqref="G3"/>
    </sheetView>
  </sheetViews>
  <sheetFormatPr defaultColWidth="9.109375" defaultRowHeight="14.4" x14ac:dyDescent="0.3"/>
  <cols>
    <col min="1" max="2" width="9.109375" style="1"/>
    <col min="3" max="3" width="21.109375" style="1" customWidth="1"/>
    <col min="4" max="4" width="1.88671875" style="1" customWidth="1"/>
    <col min="5" max="5" width="15.109375" style="1" customWidth="1"/>
    <col min="6" max="6" width="16.6640625" style="1" bestFit="1" customWidth="1"/>
    <col min="7" max="8" width="10.44140625" style="1" bestFit="1" customWidth="1"/>
    <col min="9" max="26" width="9.5546875" style="1" bestFit="1" customWidth="1"/>
    <col min="27" max="16384" width="9.109375" style="1"/>
  </cols>
  <sheetData>
    <row r="2" spans="2:26" x14ac:dyDescent="0.3">
      <c r="C2" s="19" t="s">
        <v>34</v>
      </c>
      <c r="D2" s="20"/>
      <c r="E2" s="18">
        <f>E3/E13</f>
        <v>0.20783684187475265</v>
      </c>
    </row>
    <row r="3" spans="2:26" x14ac:dyDescent="0.3">
      <c r="C3" s="19" t="s">
        <v>33</v>
      </c>
      <c r="D3" s="20"/>
      <c r="E3" s="17">
        <f>E13-E7</f>
        <v>25168367.448287889</v>
      </c>
    </row>
    <row r="4" spans="2:26" x14ac:dyDescent="0.3">
      <c r="C4" s="19" t="s">
        <v>32</v>
      </c>
      <c r="D4" s="20"/>
      <c r="E4" s="18">
        <v>8.8599999999999998E-2</v>
      </c>
    </row>
    <row r="5" spans="2:26" x14ac:dyDescent="0.3">
      <c r="B5" s="12" t="s">
        <v>0</v>
      </c>
      <c r="C5" s="13"/>
      <c r="D5" s="14"/>
      <c r="E5" s="15"/>
      <c r="F5" s="16"/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2">
        <v>6</v>
      </c>
      <c r="M5" s="22">
        <v>7</v>
      </c>
      <c r="N5" s="22">
        <v>8</v>
      </c>
      <c r="O5" s="22">
        <v>9</v>
      </c>
      <c r="P5" s="22">
        <v>10</v>
      </c>
      <c r="Q5" s="22">
        <v>11</v>
      </c>
      <c r="R5" s="22">
        <v>12</v>
      </c>
      <c r="S5" s="22">
        <v>13</v>
      </c>
      <c r="T5" s="22">
        <v>14</v>
      </c>
      <c r="U5" s="22">
        <v>15</v>
      </c>
      <c r="V5" s="22">
        <v>16</v>
      </c>
      <c r="W5" s="22">
        <v>17</v>
      </c>
      <c r="X5" s="22">
        <v>18</v>
      </c>
      <c r="Y5" s="22">
        <v>19</v>
      </c>
      <c r="Z5" s="22">
        <v>20</v>
      </c>
    </row>
    <row r="6" spans="2:26" x14ac:dyDescent="0.3">
      <c r="B6" s="5"/>
      <c r="C6" s="6"/>
      <c r="D6" s="7"/>
      <c r="E6" s="4" t="s">
        <v>1</v>
      </c>
      <c r="F6" s="3" t="s">
        <v>2</v>
      </c>
      <c r="Z6" s="2"/>
    </row>
    <row r="7" spans="2:26" x14ac:dyDescent="0.3">
      <c r="B7" s="23" t="s">
        <v>3</v>
      </c>
      <c r="C7" s="24"/>
      <c r="D7" s="25"/>
      <c r="E7" s="26">
        <f>SUM(E8:E9)</f>
        <v>95928389.128945589</v>
      </c>
      <c r="F7" s="27">
        <f>SUM(F8:F9)</f>
        <v>212113360.76855716</v>
      </c>
      <c r="G7" s="28">
        <f>SUM(G8:G9)</f>
        <v>6788730.4107020898</v>
      </c>
      <c r="H7" s="28">
        <f t="shared" ref="H7:Z7" si="0">SUM(H8:H9)</f>
        <v>10791823.324865527</v>
      </c>
      <c r="I7" s="28">
        <f t="shared" si="0"/>
        <v>10792430.046264745</v>
      </c>
      <c r="J7" s="28">
        <f t="shared" si="0"/>
        <v>10796441.943780424</v>
      </c>
      <c r="K7" s="28">
        <f t="shared" si="0"/>
        <v>10797506.791786451</v>
      </c>
      <c r="L7" s="28">
        <f t="shared" si="0"/>
        <v>10808413.901662618</v>
      </c>
      <c r="M7" s="28">
        <f t="shared" si="0"/>
        <v>10808606.47048375</v>
      </c>
      <c r="N7" s="28">
        <f t="shared" si="0"/>
        <v>10808799.03930488</v>
      </c>
      <c r="O7" s="28">
        <f t="shared" si="0"/>
        <v>10808991.608126011</v>
      </c>
      <c r="P7" s="28">
        <f t="shared" si="0"/>
        <v>10809184.176947139</v>
      </c>
      <c r="Q7" s="28">
        <f t="shared" si="0"/>
        <v>10809376.74576827</v>
      </c>
      <c r="R7" s="28">
        <f t="shared" si="0"/>
        <v>10809569.314589398</v>
      </c>
      <c r="S7" s="28">
        <f t="shared" si="0"/>
        <v>10809761.883410528</v>
      </c>
      <c r="T7" s="28">
        <f t="shared" si="0"/>
        <v>10809954.45223166</v>
      </c>
      <c r="U7" s="28">
        <f t="shared" si="0"/>
        <v>10810147.021052791</v>
      </c>
      <c r="V7" s="28">
        <f t="shared" si="0"/>
        <v>10810339.589873919</v>
      </c>
      <c r="W7" s="28">
        <f t="shared" si="0"/>
        <v>10810532.15869505</v>
      </c>
      <c r="X7" s="28">
        <f t="shared" si="0"/>
        <v>10810724.727516178</v>
      </c>
      <c r="Y7" s="28">
        <f t="shared" si="0"/>
        <v>10810917.296337308</v>
      </c>
      <c r="Z7" s="29">
        <f t="shared" si="0"/>
        <v>10811109.865158439</v>
      </c>
    </row>
    <row r="8" spans="2:26" x14ac:dyDescent="0.3">
      <c r="B8" s="30" t="s">
        <v>4</v>
      </c>
      <c r="C8" s="31"/>
      <c r="D8" s="32"/>
      <c r="E8" s="33">
        <f>NPV($E$4,G8:Z8)</f>
        <v>94807711.971421689</v>
      </c>
      <c r="F8" s="34">
        <f>SUM(G8:Z8)</f>
        <v>209682483.52955717</v>
      </c>
      <c r="G8" s="35">
        <v>6667186.54875209</v>
      </c>
      <c r="H8" s="36">
        <v>10670279.462915527</v>
      </c>
      <c r="I8" s="36">
        <v>10670886.184314745</v>
      </c>
      <c r="J8" s="36">
        <v>10674898.081830423</v>
      </c>
      <c r="K8" s="36">
        <v>10675962.92983645</v>
      </c>
      <c r="L8" s="36">
        <v>10686870.039712617</v>
      </c>
      <c r="M8" s="36">
        <v>10687062.608533749</v>
      </c>
      <c r="N8" s="36">
        <v>10687255.17735488</v>
      </c>
      <c r="O8" s="36">
        <v>10687447.74617601</v>
      </c>
      <c r="P8" s="36">
        <v>10687640.314997138</v>
      </c>
      <c r="Q8" s="36">
        <v>10687832.883818269</v>
      </c>
      <c r="R8" s="36">
        <v>10688025.452639397</v>
      </c>
      <c r="S8" s="36">
        <v>10688218.021460528</v>
      </c>
      <c r="T8" s="36">
        <v>10688410.59028166</v>
      </c>
      <c r="U8" s="36">
        <v>10688603.15910279</v>
      </c>
      <c r="V8" s="36">
        <v>10688795.727923919</v>
      </c>
      <c r="W8" s="36">
        <v>10688988.296745049</v>
      </c>
      <c r="X8" s="36">
        <v>10689180.865566177</v>
      </c>
      <c r="Y8" s="36">
        <v>10689373.434387308</v>
      </c>
      <c r="Z8" s="37">
        <v>10689566.003208438</v>
      </c>
    </row>
    <row r="9" spans="2:26" x14ac:dyDescent="0.3">
      <c r="B9" s="38" t="s">
        <v>35</v>
      </c>
      <c r="C9" s="31"/>
      <c r="D9" s="32"/>
      <c r="E9" s="33">
        <f>NPV($E$4,G9:Z9)</f>
        <v>1120677.1575239007</v>
      </c>
      <c r="F9" s="34">
        <f>SUM(G9:Z9)</f>
        <v>2430877.2390000001</v>
      </c>
      <c r="G9" s="39">
        <v>121543.86194999999</v>
      </c>
      <c r="H9" s="40">
        <v>121543.86194999999</v>
      </c>
      <c r="I9" s="40">
        <v>121543.86194999999</v>
      </c>
      <c r="J9" s="40">
        <v>121543.86194999999</v>
      </c>
      <c r="K9" s="40">
        <v>121543.86194999999</v>
      </c>
      <c r="L9" s="40">
        <v>121543.86194999999</v>
      </c>
      <c r="M9" s="40">
        <v>121543.86194999999</v>
      </c>
      <c r="N9" s="40">
        <v>121543.86194999999</v>
      </c>
      <c r="O9" s="40">
        <v>121543.86194999999</v>
      </c>
      <c r="P9" s="40">
        <v>121543.86194999999</v>
      </c>
      <c r="Q9" s="40">
        <v>121543.86194999999</v>
      </c>
      <c r="R9" s="40">
        <v>121543.86194999999</v>
      </c>
      <c r="S9" s="40">
        <v>121543.86194999999</v>
      </c>
      <c r="T9" s="40">
        <v>121543.86194999999</v>
      </c>
      <c r="U9" s="40">
        <v>121543.86194999999</v>
      </c>
      <c r="V9" s="40">
        <v>121543.86194999999</v>
      </c>
      <c r="W9" s="40">
        <v>121543.86194999999</v>
      </c>
      <c r="X9" s="40">
        <v>121543.86194999999</v>
      </c>
      <c r="Y9" s="40">
        <v>121543.86194999999</v>
      </c>
      <c r="Z9" s="41">
        <v>121543.86194999999</v>
      </c>
    </row>
    <row r="10" spans="2:26" x14ac:dyDescent="0.3">
      <c r="B10" s="38"/>
      <c r="C10" s="31"/>
      <c r="D10" s="3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4"/>
    </row>
    <row r="11" spans="2:26" x14ac:dyDescent="0.3">
      <c r="B11" s="45" t="s">
        <v>5</v>
      </c>
      <c r="C11" s="46"/>
      <c r="D11" s="47"/>
      <c r="E11" s="48"/>
      <c r="F11" s="49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4"/>
    </row>
    <row r="12" spans="2:26" x14ac:dyDescent="0.3">
      <c r="B12" s="50"/>
      <c r="C12" s="51"/>
      <c r="D12" s="52"/>
      <c r="E12" s="53"/>
      <c r="F12" s="5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4"/>
    </row>
    <row r="13" spans="2:26" x14ac:dyDescent="0.3">
      <c r="B13" s="23" t="s">
        <v>6</v>
      </c>
      <c r="C13" s="24"/>
      <c r="D13" s="25"/>
      <c r="E13" s="54">
        <f>SUM(E15,E18,E23,E28,E32)</f>
        <v>121096756.57723348</v>
      </c>
      <c r="F13" s="26">
        <f>SUM(F15,F18,F23,F27,F32)</f>
        <v>223631274.99881244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4"/>
    </row>
    <row r="14" spans="2:26" x14ac:dyDescent="0.3">
      <c r="B14" s="38"/>
      <c r="C14" s="31"/>
      <c r="D14" s="3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4"/>
    </row>
    <row r="15" spans="2:26" x14ac:dyDescent="0.3">
      <c r="B15" s="55" t="s">
        <v>7</v>
      </c>
      <c r="C15" s="56"/>
      <c r="D15" s="57"/>
      <c r="E15" s="27">
        <f>E16</f>
        <v>48779636.271333776</v>
      </c>
      <c r="F15" s="27">
        <f>F16</f>
        <v>78181052.733675167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4"/>
    </row>
    <row r="16" spans="2:26" x14ac:dyDescent="0.3">
      <c r="B16" s="58" t="s">
        <v>8</v>
      </c>
      <c r="C16" s="31"/>
      <c r="D16" s="32"/>
      <c r="E16" s="33">
        <f>NPV($E$4,G16:Z16)</f>
        <v>48779636.271333776</v>
      </c>
      <c r="F16" s="33">
        <f>SUM(G16:Z16)</f>
        <v>78181052.733675167</v>
      </c>
      <c r="G16" s="59">
        <v>31579178.821468044</v>
      </c>
      <c r="H16" s="60">
        <v>9808720.3182619959</v>
      </c>
      <c r="I16" s="60">
        <v>301639.85507130896</v>
      </c>
      <c r="J16" s="60">
        <v>296753.53314501187</v>
      </c>
      <c r="K16" s="60">
        <v>345962.21121871489</v>
      </c>
      <c r="L16" s="60">
        <v>286980.88929241773</v>
      </c>
      <c r="M16" s="60">
        <v>518694.56736612064</v>
      </c>
      <c r="N16" s="60">
        <v>331303.24543982348</v>
      </c>
      <c r="O16" s="60">
        <v>272321.92351352633</v>
      </c>
      <c r="P16" s="60">
        <v>267435.60158722923</v>
      </c>
      <c r="Q16" s="60">
        <v>316644.27966093202</v>
      </c>
      <c r="R16" s="60">
        <v>1304762.9577346351</v>
      </c>
      <c r="S16" s="60">
        <v>449276.63580833777</v>
      </c>
      <c r="T16" s="60">
        <v>12516481.767835703</v>
      </c>
      <c r="U16" s="60">
        <v>18137380.9953871</v>
      </c>
      <c r="V16" s="60">
        <v>238117.67002944657</v>
      </c>
      <c r="W16" s="60">
        <v>484926.34810314968</v>
      </c>
      <c r="X16" s="60">
        <v>228345.02617685229</v>
      </c>
      <c r="Y16" s="60">
        <v>223458.70425055517</v>
      </c>
      <c r="Z16" s="61">
        <v>272667.38232425804</v>
      </c>
    </row>
    <row r="17" spans="1:26" x14ac:dyDescent="0.3">
      <c r="B17" s="58"/>
      <c r="C17" s="31"/>
      <c r="D17" s="32"/>
      <c r="E17" s="33"/>
      <c r="F17" s="3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4"/>
    </row>
    <row r="18" spans="1:26" x14ac:dyDescent="0.3">
      <c r="B18" s="55" t="s">
        <v>9</v>
      </c>
      <c r="C18" s="56"/>
      <c r="D18" s="57"/>
      <c r="E18" s="27">
        <f>SUM(E19:E21)</f>
        <v>30977801.771677252</v>
      </c>
      <c r="F18" s="27">
        <f>SUM(F19:F21)</f>
        <v>71282991.223279193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66"/>
    </row>
    <row r="19" spans="1:26" x14ac:dyDescent="0.3">
      <c r="B19" s="58" t="s">
        <v>10</v>
      </c>
      <c r="C19" s="31"/>
      <c r="D19" s="32"/>
      <c r="E19" s="33">
        <f>NPV($E$4,G19:Z19)</f>
        <v>28943297.343799114</v>
      </c>
      <c r="F19" s="62">
        <f>SUM(G19:Z19)</f>
        <v>66932991.223279193</v>
      </c>
      <c r="G19" s="35">
        <v>2327069.1605956079</v>
      </c>
      <c r="H19" s="63">
        <v>2470578.1835252214</v>
      </c>
      <c r="I19" s="63">
        <v>2394667.8827212146</v>
      </c>
      <c r="J19" s="63">
        <v>2681455.240567721</v>
      </c>
      <c r="K19" s="63">
        <v>2755842.633754584</v>
      </c>
      <c r="L19" s="63">
        <v>3539582.2337985658</v>
      </c>
      <c r="M19" s="63">
        <v>3551102.6587046259</v>
      </c>
      <c r="N19" s="63">
        <v>3562623.083610686</v>
      </c>
      <c r="O19" s="63">
        <v>3574143.508516747</v>
      </c>
      <c r="P19" s="63">
        <v>3585663.9334228076</v>
      </c>
      <c r="Q19" s="63">
        <v>3597184.3583288677</v>
      </c>
      <c r="R19" s="63">
        <v>3608704.7832349278</v>
      </c>
      <c r="S19" s="63">
        <v>3620225.2081409884</v>
      </c>
      <c r="T19" s="63">
        <v>3631745.6330470489</v>
      </c>
      <c r="U19" s="63">
        <v>3643266.0579531095</v>
      </c>
      <c r="V19" s="63">
        <v>3654786.4828591696</v>
      </c>
      <c r="W19" s="63">
        <v>3666306.9077652297</v>
      </c>
      <c r="X19" s="63">
        <v>3677827.3326712907</v>
      </c>
      <c r="Y19" s="63">
        <v>3689347.7575773508</v>
      </c>
      <c r="Z19" s="37">
        <v>3700868.1824834119</v>
      </c>
    </row>
    <row r="20" spans="1:26" x14ac:dyDescent="0.3">
      <c r="B20" s="58" t="s">
        <v>11</v>
      </c>
      <c r="C20" s="31"/>
      <c r="D20" s="32"/>
      <c r="E20" s="33">
        <f>NPV($E$4,G20:Z20)</f>
        <v>1936273.8628202621</v>
      </c>
      <c r="F20" s="62">
        <f>SUM(G20:Z20)</f>
        <v>4200000</v>
      </c>
      <c r="G20" s="64">
        <f>35000*12*0.5</f>
        <v>210000</v>
      </c>
      <c r="H20" s="65">
        <f t="shared" ref="H20:Z20" si="1">35000*12*0.5</f>
        <v>210000</v>
      </c>
      <c r="I20" s="65">
        <f t="shared" si="1"/>
        <v>210000</v>
      </c>
      <c r="J20" s="65">
        <f t="shared" si="1"/>
        <v>210000</v>
      </c>
      <c r="K20" s="65">
        <f t="shared" si="1"/>
        <v>210000</v>
      </c>
      <c r="L20" s="65">
        <f t="shared" si="1"/>
        <v>210000</v>
      </c>
      <c r="M20" s="65">
        <f t="shared" si="1"/>
        <v>210000</v>
      </c>
      <c r="N20" s="65">
        <f t="shared" si="1"/>
        <v>210000</v>
      </c>
      <c r="O20" s="65">
        <f t="shared" si="1"/>
        <v>210000</v>
      </c>
      <c r="P20" s="65">
        <f t="shared" si="1"/>
        <v>210000</v>
      </c>
      <c r="Q20" s="65">
        <f t="shared" si="1"/>
        <v>210000</v>
      </c>
      <c r="R20" s="65">
        <f t="shared" si="1"/>
        <v>210000</v>
      </c>
      <c r="S20" s="65">
        <f t="shared" si="1"/>
        <v>210000</v>
      </c>
      <c r="T20" s="65">
        <f t="shared" si="1"/>
        <v>210000</v>
      </c>
      <c r="U20" s="65">
        <f t="shared" si="1"/>
        <v>210000</v>
      </c>
      <c r="V20" s="65">
        <f t="shared" si="1"/>
        <v>210000</v>
      </c>
      <c r="W20" s="65">
        <f t="shared" si="1"/>
        <v>210000</v>
      </c>
      <c r="X20" s="65">
        <f t="shared" si="1"/>
        <v>210000</v>
      </c>
      <c r="Y20" s="65">
        <f t="shared" si="1"/>
        <v>210000</v>
      </c>
      <c r="Z20" s="66">
        <f t="shared" si="1"/>
        <v>210000</v>
      </c>
    </row>
    <row r="21" spans="1:26" x14ac:dyDescent="0.3">
      <c r="B21" s="58" t="s">
        <v>29</v>
      </c>
      <c r="C21" s="31"/>
      <c r="D21" s="32"/>
      <c r="E21" s="33">
        <f>NPV($E$4,G21:Z21)</f>
        <v>98230.565057877524</v>
      </c>
      <c r="F21" s="33">
        <f>SUM(G21:Z21)</f>
        <v>150000</v>
      </c>
      <c r="G21" s="64">
        <v>20000</v>
      </c>
      <c r="H21" s="65"/>
      <c r="I21" s="65">
        <v>10000</v>
      </c>
      <c r="J21" s="65"/>
      <c r="K21" s="65">
        <v>20000</v>
      </c>
      <c r="L21" s="65"/>
      <c r="M21" s="65">
        <v>10000</v>
      </c>
      <c r="N21" s="65"/>
      <c r="O21" s="65">
        <v>20000</v>
      </c>
      <c r="P21" s="65"/>
      <c r="Q21" s="65">
        <v>10000</v>
      </c>
      <c r="R21" s="65"/>
      <c r="S21" s="65">
        <v>20000</v>
      </c>
      <c r="T21" s="65"/>
      <c r="U21" s="65">
        <v>10000</v>
      </c>
      <c r="V21" s="65"/>
      <c r="W21" s="65">
        <v>20000</v>
      </c>
      <c r="X21" s="65"/>
      <c r="Y21" s="65">
        <v>10000</v>
      </c>
      <c r="Z21" s="66"/>
    </row>
    <row r="22" spans="1:26" x14ac:dyDescent="0.3">
      <c r="B22" s="58"/>
      <c r="C22" s="31"/>
      <c r="D22" s="32"/>
      <c r="E22" s="33"/>
      <c r="F22" s="33"/>
      <c r="G22" s="6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9"/>
    </row>
    <row r="23" spans="1:26" x14ac:dyDescent="0.3">
      <c r="B23" s="58" t="s">
        <v>12</v>
      </c>
      <c r="C23" s="31"/>
      <c r="D23" s="32"/>
      <c r="E23" s="27">
        <f>E24</f>
        <v>5260755.5671676192</v>
      </c>
      <c r="F23" s="27">
        <f>F24</f>
        <v>11534594.700000001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66"/>
    </row>
    <row r="24" spans="1:26" ht="24.6" x14ac:dyDescent="0.3">
      <c r="A24" s="96">
        <v>0.35</v>
      </c>
      <c r="B24" s="58"/>
      <c r="C24" s="71" t="s">
        <v>28</v>
      </c>
      <c r="D24" s="32"/>
      <c r="E24" s="33">
        <f>NPV($E$4,G24:Z24)</f>
        <v>5260755.5671676192</v>
      </c>
      <c r="F24" s="62">
        <f>SUM(G24:Z24)</f>
        <v>11534594.700000001</v>
      </c>
      <c r="G24" s="72">
        <v>318062.25</v>
      </c>
      <c r="H24" s="73">
        <v>583682.69999999995</v>
      </c>
      <c r="I24" s="73">
        <v>598935.89999999991</v>
      </c>
      <c r="J24" s="73">
        <v>601808.69999999995</v>
      </c>
      <c r="K24" s="73">
        <v>604681.5</v>
      </c>
      <c r="L24" s="73">
        <v>607554.30000000005</v>
      </c>
      <c r="M24" s="73">
        <v>610427.1</v>
      </c>
      <c r="N24" s="73">
        <v>613299.89999999991</v>
      </c>
      <c r="O24" s="73">
        <v>616172.69999999995</v>
      </c>
      <c r="P24" s="73">
        <v>619045.5</v>
      </c>
      <c r="Q24" s="73">
        <v>621918.30000000005</v>
      </c>
      <c r="R24" s="73">
        <v>624791.1</v>
      </c>
      <c r="S24" s="73">
        <v>627663.89999999991</v>
      </c>
      <c r="T24" s="73">
        <v>630536.69999999995</v>
      </c>
      <c r="U24" s="73">
        <v>633409.5</v>
      </c>
      <c r="V24" s="73">
        <v>572059.05000000005</v>
      </c>
      <c r="W24" s="73">
        <v>509914.8</v>
      </c>
      <c r="X24" s="73">
        <v>511729.19999999995</v>
      </c>
      <c r="Y24" s="73">
        <v>513543.6</v>
      </c>
      <c r="Z24" s="29">
        <v>515358</v>
      </c>
    </row>
    <row r="25" spans="1:26" x14ac:dyDescent="0.3">
      <c r="A25" s="97"/>
      <c r="B25" s="58"/>
      <c r="C25" s="31"/>
      <c r="D25" s="32"/>
      <c r="E25" s="42"/>
      <c r="F25" s="62"/>
      <c r="G25" s="64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6"/>
    </row>
    <row r="26" spans="1:26" x14ac:dyDescent="0.3">
      <c r="A26" s="97"/>
      <c r="B26" s="55" t="s">
        <v>13</v>
      </c>
      <c r="C26" s="56"/>
      <c r="D26" s="57"/>
      <c r="E26" s="27"/>
      <c r="F26" s="2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4"/>
    </row>
    <row r="27" spans="1:26" x14ac:dyDescent="0.3">
      <c r="A27" s="97"/>
      <c r="B27" s="74" t="s">
        <v>14</v>
      </c>
      <c r="C27" s="56" t="s">
        <v>15</v>
      </c>
      <c r="D27" s="57"/>
      <c r="E27" s="75"/>
      <c r="F27" s="27">
        <f>F28</f>
        <v>39162159.664238587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4"/>
    </row>
    <row r="28" spans="1:26" x14ac:dyDescent="0.3">
      <c r="A28" s="97"/>
      <c r="B28" s="58" t="s">
        <v>16</v>
      </c>
      <c r="C28" s="31" t="s">
        <v>17</v>
      </c>
      <c r="D28" s="32"/>
      <c r="E28" s="27">
        <f>NPV($E$4,G28:Z28)</f>
        <v>20745922.295575131</v>
      </c>
      <c r="F28" s="27">
        <f>SUM(G28:Z28)</f>
        <v>39162159.664238587</v>
      </c>
      <c r="G28" s="72">
        <f>SUM(G29:G30)</f>
        <v>8556077.5580159128</v>
      </c>
      <c r="H28" s="73">
        <f t="shared" ref="H28:M28" si="2">SUM(H29:H30)</f>
        <v>3215745.3004468046</v>
      </c>
      <c r="I28" s="73">
        <f t="shared" si="2"/>
        <v>823810.90944813087</v>
      </c>
      <c r="J28" s="73">
        <f t="shared" si="2"/>
        <v>895004.36842818314</v>
      </c>
      <c r="K28" s="73">
        <f t="shared" si="2"/>
        <v>926621.58624332468</v>
      </c>
      <c r="L28" s="73">
        <f t="shared" si="2"/>
        <v>1108529.355772746</v>
      </c>
      <c r="M28" s="73">
        <f t="shared" si="2"/>
        <v>1170056.0815176866</v>
      </c>
      <c r="N28" s="73">
        <f t="shared" ref="N28" si="3">SUM(N29:N30)</f>
        <v>1126806.5572626274</v>
      </c>
      <c r="O28" s="73">
        <f t="shared" ref="O28" si="4">SUM(O29:O30)</f>
        <v>1115659.5330075682</v>
      </c>
      <c r="P28" s="73">
        <f t="shared" ref="P28" si="5">SUM(P29:P30)</f>
        <v>1118036.2587525093</v>
      </c>
      <c r="Q28" s="73">
        <f t="shared" ref="Q28" si="6">SUM(Q29:Q30)</f>
        <v>1133936.7344974498</v>
      </c>
      <c r="R28" s="73">
        <f t="shared" ref="R28:S28" si="7">SUM(R29:R30)</f>
        <v>1384564.7102423906</v>
      </c>
      <c r="S28" s="73">
        <f t="shared" si="7"/>
        <v>1174291.4359873314</v>
      </c>
      <c r="T28" s="73">
        <f t="shared" ref="T28" si="8">SUM(T29:T30)</f>
        <v>4194691.0252206884</v>
      </c>
      <c r="U28" s="73">
        <f t="shared" ref="U28" si="9">SUM(U29:U30)</f>
        <v>5603514.1383350529</v>
      </c>
      <c r="V28" s="73">
        <f t="shared" ref="V28" si="10">SUM(V29:V30)</f>
        <v>1116240.8007221541</v>
      </c>
      <c r="W28" s="73">
        <f t="shared" ref="W28" si="11">SUM(W29:W30)</f>
        <v>1165287.0139670947</v>
      </c>
      <c r="X28" s="73">
        <f t="shared" ref="X28:Y28" si="12">SUM(X29:X30)</f>
        <v>1104475.3897120357</v>
      </c>
      <c r="Y28" s="73">
        <f t="shared" si="12"/>
        <v>1106587.5154569766</v>
      </c>
      <c r="Z28" s="29">
        <f t="shared" ref="Z28" si="13">SUM(Z29:Z30)</f>
        <v>1122223.3912019175</v>
      </c>
    </row>
    <row r="29" spans="1:26" x14ac:dyDescent="0.3">
      <c r="A29" s="96">
        <v>0.25</v>
      </c>
      <c r="B29" s="76"/>
      <c r="C29" s="77" t="s">
        <v>27</v>
      </c>
      <c r="D29" s="32"/>
      <c r="E29" s="33">
        <f>NPV($E$4,G29:Z29)</f>
        <v>12194909.067833444</v>
      </c>
      <c r="F29" s="62">
        <f>SUM(G29:Z29)</f>
        <v>19545263.183418792</v>
      </c>
      <c r="G29" s="78">
        <f>G16*0.25</f>
        <v>7894794.705367011</v>
      </c>
      <c r="H29" s="79">
        <f>H16*0.25</f>
        <v>2452180.079565499</v>
      </c>
      <c r="I29" s="79">
        <f>I16*0.25</f>
        <v>75409.963767827241</v>
      </c>
      <c r="J29" s="79">
        <f>J16*0.25</f>
        <v>74188.383286252967</v>
      </c>
      <c r="K29" s="79">
        <f>K16*0.25</f>
        <v>86490.552804678722</v>
      </c>
      <c r="L29" s="79">
        <f>L16*0.25</f>
        <v>71745.222323104434</v>
      </c>
      <c r="M29" s="79">
        <f>M16*0.25</f>
        <v>129673.64184153016</v>
      </c>
      <c r="N29" s="79">
        <f>N16*0.25</f>
        <v>82825.811359955871</v>
      </c>
      <c r="O29" s="79">
        <f>O16*0.25</f>
        <v>68080.480878381582</v>
      </c>
      <c r="P29" s="79">
        <f>P16*0.25</f>
        <v>66858.900396807308</v>
      </c>
      <c r="Q29" s="79">
        <f>Q16*0.25</f>
        <v>79161.069915233005</v>
      </c>
      <c r="R29" s="79">
        <f>R16*0.25</f>
        <v>326190.73943365877</v>
      </c>
      <c r="S29" s="79">
        <f>S16*0.25</f>
        <v>112319.15895208444</v>
      </c>
      <c r="T29" s="79">
        <f>T16*0.25</f>
        <v>3129120.4419589257</v>
      </c>
      <c r="U29" s="79">
        <f>U16*0.25</f>
        <v>4534345.2488467749</v>
      </c>
      <c r="V29" s="79">
        <f>V16*0.25</f>
        <v>59529.417507361642</v>
      </c>
      <c r="W29" s="79">
        <f>W16*0.25</f>
        <v>121231.58702578742</v>
      </c>
      <c r="X29" s="79">
        <f>X16*0.25</f>
        <v>57086.256544213073</v>
      </c>
      <c r="Y29" s="79">
        <f>Y16*0.25</f>
        <v>55864.676062638791</v>
      </c>
      <c r="Z29" s="80">
        <f>Z16*0.25</f>
        <v>68166.84558106451</v>
      </c>
    </row>
    <row r="30" spans="1:26" x14ac:dyDescent="0.3">
      <c r="A30" s="96">
        <v>0.25</v>
      </c>
      <c r="B30" s="76"/>
      <c r="C30" s="77" t="s">
        <v>18</v>
      </c>
      <c r="D30" s="32"/>
      <c r="E30" s="33">
        <f>NPV($E$4,G30:Z30)</f>
        <v>8551013.2277416829</v>
      </c>
      <c r="F30" s="62">
        <f>SUM(G30:Z30)</f>
        <v>19616896.480819792</v>
      </c>
      <c r="G30" s="64">
        <f>SUM(G19+G24)*0.25</f>
        <v>661282.85264890199</v>
      </c>
      <c r="H30" s="65">
        <f>SUM(H19+H24)*0.25</f>
        <v>763565.2208813054</v>
      </c>
      <c r="I30" s="65">
        <f>SUM(I19+I24)*0.25</f>
        <v>748400.94568030362</v>
      </c>
      <c r="J30" s="65">
        <f>SUM(J19+J24)*0.25</f>
        <v>820815.98514193017</v>
      </c>
      <c r="K30" s="65">
        <f>SUM(K19+K24)*0.25</f>
        <v>840131.033438646</v>
      </c>
      <c r="L30" s="65">
        <f>SUM(L19+L24)*0.25</f>
        <v>1036784.1334496415</v>
      </c>
      <c r="M30" s="65">
        <f>SUM(M19+M24)*0.25</f>
        <v>1040382.4396761565</v>
      </c>
      <c r="N30" s="65">
        <f>SUM(N19+N24)*0.25</f>
        <v>1043980.7459026715</v>
      </c>
      <c r="O30" s="65">
        <f>SUM(O19+O24)*0.25</f>
        <v>1047579.0521291867</v>
      </c>
      <c r="P30" s="65">
        <f>SUM(P19+P24)*0.25</f>
        <v>1051177.3583557019</v>
      </c>
      <c r="Q30" s="65">
        <f>SUM(Q19+Q24)*0.25</f>
        <v>1054775.6645822169</v>
      </c>
      <c r="R30" s="65">
        <f>SUM(R19+R24)*0.25</f>
        <v>1058373.9708087319</v>
      </c>
      <c r="S30" s="65">
        <f>SUM(S19+S24)*0.25</f>
        <v>1061972.2770352471</v>
      </c>
      <c r="T30" s="65">
        <f>SUM(T19+T24)*0.25</f>
        <v>1065570.5832617623</v>
      </c>
      <c r="U30" s="65">
        <f>SUM(U19+U24)*0.25</f>
        <v>1069168.8894882775</v>
      </c>
      <c r="V30" s="65">
        <f>SUM(V19+V24)*0.25</f>
        <v>1056711.3832147925</v>
      </c>
      <c r="W30" s="65">
        <f>SUM(W19+W24)*0.25</f>
        <v>1044055.4269413074</v>
      </c>
      <c r="X30" s="65">
        <f>SUM(X19+X24)*0.25</f>
        <v>1047389.1331678226</v>
      </c>
      <c r="Y30" s="65">
        <f>SUM(Y19+Y24)*0.25</f>
        <v>1050722.8393943377</v>
      </c>
      <c r="Z30" s="66">
        <f>SUM(Z19+Z24)*0.25</f>
        <v>1054056.5456208531</v>
      </c>
    </row>
    <row r="31" spans="1:26" x14ac:dyDescent="0.3">
      <c r="A31" s="97"/>
      <c r="B31" s="58"/>
      <c r="C31" s="31"/>
      <c r="D31" s="32"/>
      <c r="E31" s="33"/>
      <c r="F31" s="33"/>
      <c r="G31" s="64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6"/>
    </row>
    <row r="32" spans="1:26" ht="24.6" x14ac:dyDescent="0.3">
      <c r="A32" s="97"/>
      <c r="B32" s="74" t="s">
        <v>19</v>
      </c>
      <c r="C32" s="81" t="s">
        <v>20</v>
      </c>
      <c r="D32" s="57"/>
      <c r="E32" s="27">
        <f>SUM(E33,E36)</f>
        <v>15332640.671479702</v>
      </c>
      <c r="F32" s="27">
        <f>SUM(F33,F36)</f>
        <v>23470476.677619532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4"/>
    </row>
    <row r="33" spans="1:28" ht="24.6" x14ac:dyDescent="0.3">
      <c r="A33" s="97"/>
      <c r="B33" s="58" t="s">
        <v>21</v>
      </c>
      <c r="C33" s="82" t="s">
        <v>22</v>
      </c>
      <c r="D33" s="57"/>
      <c r="E33" s="33">
        <f>NPV($E$4,G33:Z33)</f>
        <v>11912235.38038303</v>
      </c>
      <c r="F33" s="33">
        <f>SUM(G33:Z33)</f>
        <v>15623718.085291611</v>
      </c>
      <c r="G33" s="28">
        <f>G34-G35</f>
        <v>989340.11848959606</v>
      </c>
      <c r="H33" s="28">
        <f t="shared" ref="H33:I33" si="14">H34-H35</f>
        <v>3812527.2821752164</v>
      </c>
      <c r="I33" s="28">
        <f t="shared" si="14"/>
        <v>3959287.62563243</v>
      </c>
      <c r="J33" s="28">
        <f t="shared" ref="J33" si="15">J34-J35</f>
        <v>3937063.6010387982</v>
      </c>
      <c r="K33" s="28">
        <f t="shared" ref="K33" si="16">K34-K35</f>
        <v>2925499.4579555714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29">
        <v>0</v>
      </c>
    </row>
    <row r="34" spans="1:28" x14ac:dyDescent="0.3">
      <c r="A34" s="97"/>
      <c r="B34" s="83" t="s">
        <v>23</v>
      </c>
      <c r="C34" s="84" t="s">
        <v>24</v>
      </c>
      <c r="D34" s="32"/>
      <c r="E34" s="33"/>
      <c r="F34" s="33"/>
      <c r="G34" s="85">
        <v>989340.11848959606</v>
      </c>
      <c r="H34" s="85">
        <v>3812527.2821752164</v>
      </c>
      <c r="I34" s="85">
        <v>3959287.62563243</v>
      </c>
      <c r="J34" s="85">
        <v>3937063.6010387982</v>
      </c>
      <c r="K34" s="85">
        <v>3914839.5764451674</v>
      </c>
      <c r="L34" s="85">
        <v>3892615.5518515361</v>
      </c>
      <c r="M34" s="85">
        <v>3870391.5272579049</v>
      </c>
      <c r="N34" s="85">
        <v>3848167.5026642736</v>
      </c>
      <c r="O34" s="85">
        <v>3825943.4780706423</v>
      </c>
      <c r="P34" s="85">
        <v>3803719.4534770106</v>
      </c>
      <c r="Q34" s="85">
        <v>3781495.4288833789</v>
      </c>
      <c r="R34" s="85">
        <v>3759271.4042897476</v>
      </c>
      <c r="S34" s="85">
        <v>3737047.3796961159</v>
      </c>
      <c r="T34" s="85">
        <v>3714823.355102485</v>
      </c>
      <c r="U34" s="85">
        <v>3692599.3305088533</v>
      </c>
      <c r="V34" s="85">
        <v>3670375.305915222</v>
      </c>
      <c r="W34" s="85">
        <v>3648151.2813215908</v>
      </c>
      <c r="X34" s="85">
        <v>3625927.256727959</v>
      </c>
      <c r="Y34" s="85">
        <v>3603703.2321343282</v>
      </c>
      <c r="Z34" s="86">
        <v>3581479.207540696</v>
      </c>
    </row>
    <row r="35" spans="1:28" ht="24.6" x14ac:dyDescent="0.3">
      <c r="A35" s="97"/>
      <c r="B35" s="83" t="s">
        <v>25</v>
      </c>
      <c r="C35" s="84" t="s">
        <v>26</v>
      </c>
      <c r="D35" s="32"/>
      <c r="E35" s="33"/>
      <c r="F35" s="33"/>
      <c r="G35" s="87"/>
      <c r="H35" s="88"/>
      <c r="I35" s="65"/>
      <c r="J35" s="65"/>
      <c r="K35" s="85">
        <v>989340.11848959606</v>
      </c>
      <c r="L35" s="85">
        <v>3812527.2821752164</v>
      </c>
      <c r="M35" s="85">
        <v>3959287.62563243</v>
      </c>
      <c r="N35" s="85">
        <v>3937063.6010387982</v>
      </c>
      <c r="O35" s="85">
        <v>3914839.5764451674</v>
      </c>
      <c r="P35" s="85">
        <v>3892615.5518515361</v>
      </c>
      <c r="Q35" s="85">
        <v>3870391.5272579049</v>
      </c>
      <c r="R35" s="85">
        <v>3848167.5026642736</v>
      </c>
      <c r="S35" s="85">
        <v>3825943.4780706423</v>
      </c>
      <c r="T35" s="85">
        <v>3803719.4534770106</v>
      </c>
      <c r="U35" s="85">
        <v>3781495.4288833789</v>
      </c>
      <c r="V35" s="85">
        <v>3759271.4042897476</v>
      </c>
      <c r="W35" s="85">
        <v>3737047.3796961159</v>
      </c>
      <c r="X35" s="85">
        <v>3714823.355102485</v>
      </c>
      <c r="Y35" s="85">
        <v>3692599.3305088533</v>
      </c>
      <c r="Z35" s="86">
        <v>3670375.305915222</v>
      </c>
      <c r="AA35" s="8"/>
      <c r="AB35" s="8"/>
    </row>
    <row r="36" spans="1:28" ht="24.6" x14ac:dyDescent="0.3">
      <c r="A36" s="96">
        <v>0.1</v>
      </c>
      <c r="B36" s="89" t="s">
        <v>30</v>
      </c>
      <c r="C36" s="90" t="s">
        <v>31</v>
      </c>
      <c r="D36" s="91"/>
      <c r="E36" s="92">
        <f>NPV($E$4,G36:Z36)</f>
        <v>3420405.2910966733</v>
      </c>
      <c r="F36" s="92">
        <f>SUM(G36:Z36)</f>
        <v>7846758.5923279189</v>
      </c>
      <c r="G36" s="93">
        <f>$A$36*(G19+G24)</f>
        <v>264513.14105956082</v>
      </c>
      <c r="H36" s="94">
        <f>$A$36*(H19+H24)</f>
        <v>305426.08835252217</v>
      </c>
      <c r="I36" s="94">
        <f>$A$36*(I19+I24)</f>
        <v>299360.37827212148</v>
      </c>
      <c r="J36" s="94">
        <f>$A$36*(J19+J24)</f>
        <v>328326.39405677211</v>
      </c>
      <c r="K36" s="94">
        <f>$A$36*(K19+K24)</f>
        <v>336052.41337545845</v>
      </c>
      <c r="L36" s="94">
        <f>$A$36*(L19+L24)</f>
        <v>414713.65337985661</v>
      </c>
      <c r="M36" s="94">
        <f>$A$36*(M19+M24)</f>
        <v>416152.9758704626</v>
      </c>
      <c r="N36" s="94">
        <f>$A$36*(N19+N24)</f>
        <v>417592.29836106859</v>
      </c>
      <c r="O36" s="94">
        <f>$A$36*(O19+O24)</f>
        <v>419031.6208516747</v>
      </c>
      <c r="P36" s="94">
        <f>$A$36*(P19+P24)</f>
        <v>420470.94334228081</v>
      </c>
      <c r="Q36" s="94">
        <f>$A$36*(Q19+Q24)</f>
        <v>421910.2658328868</v>
      </c>
      <c r="R36" s="94">
        <f>$A$36*(R19+R24)</f>
        <v>423349.58832349279</v>
      </c>
      <c r="S36" s="94">
        <f>$A$36*(S19+S24)</f>
        <v>424788.91081409884</v>
      </c>
      <c r="T36" s="94">
        <f>$A$36*(T19+T24)</f>
        <v>426228.23330470495</v>
      </c>
      <c r="U36" s="94">
        <f>$A$36*(U19+U24)</f>
        <v>427667.555795311</v>
      </c>
      <c r="V36" s="94">
        <f>$A$36*(V19+V24)</f>
        <v>422684.55328591703</v>
      </c>
      <c r="W36" s="94">
        <f>$A$36*(W19+W24)</f>
        <v>417622.17077652295</v>
      </c>
      <c r="X36" s="94">
        <f>$A$36*(X19+X24)</f>
        <v>418955.65326712909</v>
      </c>
      <c r="Y36" s="94">
        <f>$A$36*(Y19+Y24)</f>
        <v>420289.13575773512</v>
      </c>
      <c r="Z36" s="95">
        <f>$A$36*(Z19+Z24)</f>
        <v>421622.61824834126</v>
      </c>
    </row>
    <row r="37" spans="1:28" x14ac:dyDescent="0.3">
      <c r="A37" s="97"/>
      <c r="E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8" x14ac:dyDescent="0.3">
      <c r="A38" s="9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  <c r="Z38" s="10"/>
    </row>
    <row r="39" spans="1:28" x14ac:dyDescent="0.3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8" x14ac:dyDescent="0.3">
      <c r="F40" s="1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8" x14ac:dyDescent="0.3">
      <c r="F41" s="1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VfM</vt:lpstr>
      <vt:lpstr>VfM!_ftn1</vt:lpstr>
      <vt:lpstr>VfM!_ftnref1</vt:lpstr>
      <vt:lpstr>VfM!_Hlk12257215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 Herreras</dc:creator>
  <cp:lastModifiedBy>Yan Herreras</cp:lastModifiedBy>
  <dcterms:created xsi:type="dcterms:W3CDTF">2019-06-19T13:43:51Z</dcterms:created>
  <dcterms:modified xsi:type="dcterms:W3CDTF">2020-03-16T23:00:57Z</dcterms:modified>
</cp:coreProperties>
</file>