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22E68647-3C60-695B-3CA0-4895CD717B8A}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ASTAS DIVERSAS\PREGÃO\EDITAIS\2019\RAFAEL\CP 01-19 site\"/>
    </mc:Choice>
  </mc:AlternateContent>
  <bookViews>
    <workbookView xWindow="0" yWindow="0" windowWidth="19200" windowHeight="11595" tabRatio="911"/>
  </bookViews>
  <sheets>
    <sheet name="Dados Gerais" sheetId="4" r:id="rId1"/>
    <sheet name="Dados Operacionais" sheetId="6" r:id="rId2"/>
    <sheet name="Custos Variáveis" sheetId="8" r:id="rId3"/>
    <sheet name="Custos Fixos" sheetId="9" r:id="rId4"/>
    <sheet name="Custos de Capital" sheetId="10" r:id="rId5"/>
    <sheet name="Custos Fixos II" sheetId="11" r:id="rId6"/>
    <sheet name="Custo Total Sem Tributos" sheetId="12" r:id="rId7"/>
    <sheet name="Custo Total com Tributos" sheetId="13" r:id="rId8"/>
    <sheet name="Resumo Geral Sem Investimentos" sheetId="15" r:id="rId9"/>
  </sheets>
  <definedNames>
    <definedName name="\a">#REF!</definedName>
    <definedName name="\d">#N/A</definedName>
    <definedName name="_xlnm._FilterDatabase" localSheetId="7" hidden="1">'Custo Total com Tributos'!#REF!</definedName>
    <definedName name="_xlnm._FilterDatabase" localSheetId="6" hidden="1">'Custo Total Sem Tributos'!#REF!</definedName>
    <definedName name="_xlnm._FilterDatabase" localSheetId="4" hidden="1">'Custos de Capital'!#REF!</definedName>
    <definedName name="_xlnm._FilterDatabase" localSheetId="3" hidden="1">'Custos Fixos'!#REF!</definedName>
    <definedName name="_xlnm._FilterDatabase" localSheetId="5" hidden="1">'Custos Fixos II'!#REF!</definedName>
    <definedName name="_xlnm._FilterDatabase" localSheetId="2" hidden="1">'Custos Variáveis'!#REF!</definedName>
    <definedName name="_xlnm._FilterDatabase" localSheetId="0" hidden="1">'Dados Gerais'!$C$20:$K$49</definedName>
    <definedName name="_xlnm._FilterDatabase" localSheetId="1" hidden="1">'Dados Operacionais'!#REF!</definedName>
    <definedName name="_xlnm._FilterDatabase" localSheetId="8" hidden="1">'Resumo Geral Sem Investimentos'!#REF!</definedName>
    <definedName name="Ano_Fabr.">#REF!</definedName>
    <definedName name="Ano_Mod.">#REF!</definedName>
    <definedName name="_xlnm.Print_Area" localSheetId="7">'Custo Total com Tributos'!$A$2:$K$66</definedName>
    <definedName name="_xlnm.Print_Area" localSheetId="6">'Custo Total Sem Tributos'!$A$2:$K$59</definedName>
    <definedName name="_xlnm.Print_Area" localSheetId="4">'Custos de Capital'!$B$1:$O$60</definedName>
    <definedName name="_xlnm.Print_Area" localSheetId="3">'Custos Fixos'!$B$2:$J$89</definedName>
    <definedName name="_xlnm.Print_Area" localSheetId="5">'Custos Fixos II'!$A$2:$J$62</definedName>
    <definedName name="_xlnm.Print_Area" localSheetId="2">'Custos Variáveis'!$A$2:$J$68</definedName>
    <definedName name="_xlnm.Print_Area" localSheetId="0">'Dados Gerais'!$A$1:$K$157</definedName>
    <definedName name="_xlnm.Print_Area" localSheetId="1">'Dados Operacionais'!$A$2:$K$87</definedName>
    <definedName name="_xlnm.Print_Area" localSheetId="8">'Resumo Geral Sem Investimentos'!$A$1:$H$52</definedName>
    <definedName name="Carroçaria_Fabr.">#REF!</definedName>
    <definedName name="Carroçaria_Mod.">#REF!</definedName>
    <definedName name="Categoria">#REF!</definedName>
    <definedName name="Chassi_Fabr.">#REF!</definedName>
    <definedName name="Chassi_Mod.">#REF!</definedName>
    <definedName name="Cód.">#REF!</definedName>
    <definedName name="Data_E._Oper.">#REF!</definedName>
    <definedName name="Empresa">#REF!</definedName>
    <definedName name="Idade_Mês">#REF!</definedName>
    <definedName name="N__do_Chassi">#REF!</definedName>
    <definedName name="nome1">#REF!</definedName>
    <definedName name="Preço_Carroçaria">#REF!</definedName>
    <definedName name="Preço_Chassi">#REF!</definedName>
    <definedName name="Prefixo">#REF!</definedName>
    <definedName name="Vida_Remanecent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4" l="1"/>
  <c r="J129" i="4" l="1"/>
  <c r="F13" i="15" l="1"/>
  <c r="K48" i="6" l="1"/>
  <c r="F79" i="9" l="1"/>
  <c r="F87" i="9"/>
  <c r="F86" i="9"/>
  <c r="K14" i="4"/>
  <c r="H32" i="4"/>
  <c r="H33" i="4" s="1"/>
  <c r="H36" i="4" s="1"/>
  <c r="H37" i="4" s="1"/>
  <c r="H49" i="4"/>
  <c r="K49" i="4"/>
  <c r="D75" i="4"/>
  <c r="F75" i="4"/>
  <c r="H75" i="4"/>
  <c r="J75" i="4"/>
  <c r="D77" i="4"/>
  <c r="E77" i="4" s="1"/>
  <c r="F77" i="4"/>
  <c r="F78" i="4" s="1"/>
  <c r="H77" i="4"/>
  <c r="I77" i="4" s="1"/>
  <c r="J77" i="4"/>
  <c r="K77" i="4" s="1"/>
  <c r="I115" i="4"/>
  <c r="I126" i="4"/>
  <c r="K129" i="4"/>
  <c r="H40" i="9" s="1"/>
  <c r="J156" i="4"/>
  <c r="H6" i="13" s="1"/>
  <c r="J78" i="4" l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G77" i="4"/>
  <c r="D78" i="4"/>
  <c r="D79" i="4" s="1"/>
  <c r="D80" i="4" s="1"/>
  <c r="D81" i="4" s="1"/>
  <c r="D82" i="4" s="1"/>
  <c r="D83" i="4" s="1"/>
  <c r="D84" i="4" s="1"/>
  <c r="D85" i="4" s="1"/>
  <c r="D86" i="4" s="1"/>
  <c r="D87" i="4" s="1"/>
  <c r="D88" i="4" s="1"/>
  <c r="D89" i="4" s="1"/>
  <c r="D90" i="4" s="1"/>
  <c r="F79" i="4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H78" i="4"/>
  <c r="H12" i="9"/>
  <c r="H31" i="9"/>
  <c r="H16" i="9"/>
  <c r="F91" i="4" l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D91" i="4"/>
  <c r="E78" i="4" s="1"/>
  <c r="E79" i="4" s="1"/>
  <c r="E80" i="4" s="1"/>
  <c r="E81" i="4" s="1"/>
  <c r="E82" i="4" s="1"/>
  <c r="E83" i="4" s="1"/>
  <c r="E84" i="4" s="1"/>
  <c r="E85" i="4" s="1"/>
  <c r="E86" i="4" s="1"/>
  <c r="E87" i="4" s="1"/>
  <c r="E88" i="4" s="1"/>
  <c r="E89" i="4" s="1"/>
  <c r="E90" i="4" s="1"/>
  <c r="H79" i="4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J91" i="4"/>
  <c r="K78" i="4" s="1"/>
  <c r="K79" i="4" s="1"/>
  <c r="K80" i="4" s="1"/>
  <c r="K81" i="4" s="1"/>
  <c r="K82" i="4" s="1"/>
  <c r="K83" i="4" s="1"/>
  <c r="K84" i="4" s="1"/>
  <c r="K85" i="4" s="1"/>
  <c r="K86" i="4" s="1"/>
  <c r="K87" i="4" s="1"/>
  <c r="K88" i="4" s="1"/>
  <c r="K89" i="4" s="1"/>
  <c r="K90" i="4" s="1"/>
  <c r="I48" i="6"/>
  <c r="H23" i="9"/>
  <c r="H91" i="4" l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H15" i="9"/>
  <c r="B43" i="15" l="1"/>
  <c r="B24" i="15"/>
  <c r="B20" i="15"/>
  <c r="H18" i="8"/>
  <c r="F78" i="9" l="1"/>
  <c r="K28" i="6" l="1"/>
  <c r="H41" i="9"/>
  <c r="G16" i="10"/>
  <c r="K30" i="6"/>
  <c r="H25" i="9"/>
  <c r="H34" i="11" s="1"/>
  <c r="H22" i="12" s="1"/>
  <c r="F69" i="9"/>
  <c r="K12" i="6"/>
  <c r="N5" i="10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H11" i="9"/>
  <c r="H49" i="9"/>
  <c r="F67" i="9"/>
  <c r="F68" i="9"/>
  <c r="D16" i="10"/>
  <c r="H16" i="10"/>
  <c r="H17" i="10" s="1"/>
  <c r="D17" i="10"/>
  <c r="D18" i="10"/>
  <c r="D19" i="10"/>
  <c r="D20" i="10"/>
  <c r="D21" i="10"/>
  <c r="D22" i="10"/>
  <c r="D23" i="10"/>
  <c r="D24" i="10"/>
  <c r="D25" i="10"/>
  <c r="D26" i="10"/>
  <c r="E16" i="10"/>
  <c r="E17" i="10"/>
  <c r="E18" i="10"/>
  <c r="E19" i="10"/>
  <c r="E20" i="10"/>
  <c r="E21" i="10"/>
  <c r="E22" i="10"/>
  <c r="E23" i="10"/>
  <c r="E24" i="10"/>
  <c r="E25" i="10"/>
  <c r="E26" i="10"/>
  <c r="F16" i="10"/>
  <c r="N16" i="10" s="1"/>
  <c r="F17" i="10"/>
  <c r="N17" i="10" s="1"/>
  <c r="F18" i="10"/>
  <c r="N18" i="10" s="1"/>
  <c r="F19" i="10"/>
  <c r="N19" i="10" s="1"/>
  <c r="F20" i="10"/>
  <c r="N20" i="10" s="1"/>
  <c r="F21" i="10"/>
  <c r="N21" i="10" s="1"/>
  <c r="F22" i="10"/>
  <c r="N22" i="10" s="1"/>
  <c r="F23" i="10"/>
  <c r="N23" i="10" s="1"/>
  <c r="F24" i="10"/>
  <c r="N24" i="10" s="1"/>
  <c r="F25" i="10"/>
  <c r="N25" i="10" s="1"/>
  <c r="F26" i="10"/>
  <c r="N26" i="10" s="1"/>
  <c r="O5" i="10"/>
  <c r="O6" i="10" s="1"/>
  <c r="M6" i="10" s="1"/>
  <c r="G17" i="10"/>
  <c r="G18" i="10"/>
  <c r="G20" i="10"/>
  <c r="G22" i="10"/>
  <c r="G23" i="10"/>
  <c r="G24" i="10"/>
  <c r="G25" i="10"/>
  <c r="G26" i="10"/>
  <c r="D42" i="10"/>
  <c r="H42" i="10"/>
  <c r="D43" i="10"/>
  <c r="H43" i="10"/>
  <c r="D44" i="10"/>
  <c r="D45" i="10"/>
  <c r="D46" i="10"/>
  <c r="D47" i="10"/>
  <c r="D48" i="10"/>
  <c r="D49" i="10"/>
  <c r="D50" i="10"/>
  <c r="D51" i="10"/>
  <c r="D52" i="10"/>
  <c r="E42" i="10"/>
  <c r="E43" i="10"/>
  <c r="E44" i="10"/>
  <c r="E45" i="10"/>
  <c r="E46" i="10"/>
  <c r="E48" i="10"/>
  <c r="E49" i="10"/>
  <c r="E50" i="10"/>
  <c r="E51" i="10"/>
  <c r="E52" i="10"/>
  <c r="F42" i="10"/>
  <c r="F43" i="10"/>
  <c r="F44" i="10"/>
  <c r="F45" i="10"/>
  <c r="F46" i="10"/>
  <c r="F47" i="10"/>
  <c r="F48" i="10"/>
  <c r="F49" i="10"/>
  <c r="F50" i="10"/>
  <c r="F51" i="10"/>
  <c r="F52" i="10"/>
  <c r="G43" i="10"/>
  <c r="G44" i="10"/>
  <c r="G46" i="10"/>
  <c r="G48" i="10"/>
  <c r="G49" i="10"/>
  <c r="G50" i="10"/>
  <c r="G51" i="10"/>
  <c r="G52" i="10"/>
  <c r="I36" i="6"/>
  <c r="I37" i="6" s="1"/>
  <c r="K25" i="6"/>
  <c r="K26" i="6"/>
  <c r="K27" i="6"/>
  <c r="K29" i="6"/>
  <c r="K31" i="6"/>
  <c r="K32" i="6"/>
  <c r="K33" i="6"/>
  <c r="K34" i="6"/>
  <c r="K35" i="6"/>
  <c r="K11" i="6"/>
  <c r="I14" i="6"/>
  <c r="I50" i="6"/>
  <c r="H50" i="6"/>
  <c r="G50" i="6"/>
  <c r="G34" i="8" s="1"/>
  <c r="J68" i="6"/>
  <c r="N7" i="11"/>
  <c r="L5" i="10"/>
  <c r="M5" i="10"/>
  <c r="I42" i="10" s="1"/>
  <c r="Q41" i="10"/>
  <c r="R41" i="10"/>
  <c r="G14" i="6"/>
  <c r="H14" i="6"/>
  <c r="G36" i="6"/>
  <c r="G37" i="6" s="1"/>
  <c r="H36" i="6"/>
  <c r="H37" i="6" s="1"/>
  <c r="H74" i="6"/>
  <c r="I74" i="6"/>
  <c r="H44" i="10"/>
  <c r="H39" i="9"/>
  <c r="H13" i="9"/>
  <c r="J42" i="10"/>
  <c r="J43" i="10" s="1"/>
  <c r="J14" i="6"/>
  <c r="G21" i="10"/>
  <c r="G47" i="10"/>
  <c r="G42" i="10"/>
  <c r="H26" i="8" l="1"/>
  <c r="H17" i="8"/>
  <c r="J12" i="9"/>
  <c r="H87" i="9"/>
  <c r="H86" i="9"/>
  <c r="J31" i="9"/>
  <c r="J16" i="9"/>
  <c r="J23" i="9"/>
  <c r="J25" i="9" s="1"/>
  <c r="J49" i="9"/>
  <c r="J25" i="12" s="1"/>
  <c r="J28" i="13" s="1"/>
  <c r="M60" i="9"/>
  <c r="I16" i="8"/>
  <c r="I52" i="8"/>
  <c r="F34" i="8"/>
  <c r="H53" i="8"/>
  <c r="J53" i="8" s="1"/>
  <c r="N55" i="10"/>
  <c r="J52" i="8"/>
  <c r="J16" i="8"/>
  <c r="J11" i="9"/>
  <c r="I54" i="8"/>
  <c r="J45" i="8"/>
  <c r="J54" i="8"/>
  <c r="I18" i="8"/>
  <c r="O5" i="11"/>
  <c r="J18" i="8"/>
  <c r="J41" i="9"/>
  <c r="P7" i="11"/>
  <c r="M59" i="9"/>
  <c r="J39" i="9"/>
  <c r="J34" i="8"/>
  <c r="O59" i="9"/>
  <c r="G35" i="8"/>
  <c r="H59" i="6"/>
  <c r="H44" i="8" s="1"/>
  <c r="D36" i="8"/>
  <c r="I41" i="9"/>
  <c r="J40" i="9"/>
  <c r="I40" i="9"/>
  <c r="E36" i="8"/>
  <c r="J43" i="8"/>
  <c r="I12" i="9"/>
  <c r="F35" i="8"/>
  <c r="M5" i="11"/>
  <c r="F36" i="8"/>
  <c r="J25" i="8"/>
  <c r="G36" i="8"/>
  <c r="E35" i="8"/>
  <c r="N29" i="10"/>
  <c r="I45" i="8"/>
  <c r="D35" i="8"/>
  <c r="J13" i="9"/>
  <c r="O60" i="9"/>
  <c r="I13" i="9"/>
  <c r="I59" i="6"/>
  <c r="N59" i="9"/>
  <c r="N5" i="11"/>
  <c r="O7" i="11"/>
  <c r="M7" i="11"/>
  <c r="J44" i="10"/>
  <c r="D34" i="8"/>
  <c r="I43" i="8"/>
  <c r="L29" i="10"/>
  <c r="I25" i="8"/>
  <c r="I11" i="9"/>
  <c r="N60" i="9"/>
  <c r="L55" i="10"/>
  <c r="E34" i="8"/>
  <c r="G59" i="6"/>
  <c r="I39" i="9"/>
  <c r="I7" i="8"/>
  <c r="I34" i="8"/>
  <c r="M42" i="10"/>
  <c r="M51" i="10"/>
  <c r="L51" i="10"/>
  <c r="L50" i="10"/>
  <c r="M52" i="10"/>
  <c r="L52" i="10"/>
  <c r="M50" i="10"/>
  <c r="L43" i="10"/>
  <c r="L17" i="10"/>
  <c r="H42" i="9"/>
  <c r="H43" i="9" s="1"/>
  <c r="K14" i="6"/>
  <c r="H14" i="9"/>
  <c r="J14" i="9" s="1"/>
  <c r="E27" i="15"/>
  <c r="G19" i="10"/>
  <c r="J36" i="6"/>
  <c r="G45" i="10"/>
  <c r="K47" i="6"/>
  <c r="P60" i="9"/>
  <c r="K15" i="6"/>
  <c r="P59" i="9"/>
  <c r="P5" i="11"/>
  <c r="K36" i="6"/>
  <c r="K37" i="6" s="1"/>
  <c r="L16" i="10"/>
  <c r="L44" i="10"/>
  <c r="L42" i="10"/>
  <c r="H51" i="9"/>
  <c r="H37" i="11" s="1"/>
  <c r="H25" i="12" s="1"/>
  <c r="H28" i="13" s="1"/>
  <c r="H25" i="13"/>
  <c r="K42" i="10"/>
  <c r="H33" i="9"/>
  <c r="H35" i="11" s="1"/>
  <c r="H23" i="12" s="1"/>
  <c r="N43" i="10"/>
  <c r="H18" i="10"/>
  <c r="H55" i="8" l="1"/>
  <c r="J37" i="6"/>
  <c r="H88" i="9"/>
  <c r="H79" i="9"/>
  <c r="J87" i="9"/>
  <c r="J86" i="9"/>
  <c r="E25" i="15"/>
  <c r="G25" i="15" s="1"/>
  <c r="I53" i="8"/>
  <c r="J44" i="8"/>
  <c r="I44" i="8"/>
  <c r="N42" i="10"/>
  <c r="N52" i="10"/>
  <c r="N50" i="10"/>
  <c r="N51" i="10"/>
  <c r="N44" i="10"/>
  <c r="H56" i="8"/>
  <c r="J55" i="8"/>
  <c r="O51" i="10"/>
  <c r="H35" i="8"/>
  <c r="H36" i="8"/>
  <c r="I36" i="8" s="1"/>
  <c r="F76" i="9"/>
  <c r="H76" i="9" s="1"/>
  <c r="H78" i="9"/>
  <c r="F77" i="9"/>
  <c r="Q59" i="9"/>
  <c r="H59" i="9" s="1"/>
  <c r="Q7" i="11"/>
  <c r="Q5" i="11"/>
  <c r="G14" i="11" s="1"/>
  <c r="J45" i="10"/>
  <c r="N45" i="10" s="1"/>
  <c r="H34" i="8"/>
  <c r="Q60" i="9"/>
  <c r="O50" i="10"/>
  <c r="O42" i="10"/>
  <c r="H69" i="9"/>
  <c r="E37" i="15" s="1"/>
  <c r="G37" i="15" s="1"/>
  <c r="H17" i="9"/>
  <c r="J43" i="9"/>
  <c r="H36" i="11"/>
  <c r="J42" i="9"/>
  <c r="E26" i="15"/>
  <c r="G26" i="15" s="1"/>
  <c r="J15" i="9"/>
  <c r="J50" i="6"/>
  <c r="K50" i="6"/>
  <c r="G27" i="15"/>
  <c r="H68" i="9"/>
  <c r="E36" i="15" s="1"/>
  <c r="J51" i="9"/>
  <c r="H67" i="9"/>
  <c r="J34" i="11"/>
  <c r="J22" i="12"/>
  <c r="J25" i="13" s="1"/>
  <c r="J37" i="11"/>
  <c r="K86" i="6"/>
  <c r="O52" i="10"/>
  <c r="E28" i="15"/>
  <c r="G28" i="15" s="1"/>
  <c r="L18" i="10"/>
  <c r="H19" i="10"/>
  <c r="H26" i="13"/>
  <c r="E31" i="15"/>
  <c r="J33" i="9"/>
  <c r="J23" i="12"/>
  <c r="J26" i="13" s="1"/>
  <c r="J35" i="11"/>
  <c r="I87" i="9" l="1"/>
  <c r="H19" i="8"/>
  <c r="H28" i="8"/>
  <c r="I86" i="9"/>
  <c r="I55" i="8"/>
  <c r="I31" i="9"/>
  <c r="I35" i="11" s="1"/>
  <c r="I49" i="9"/>
  <c r="I37" i="11" s="1"/>
  <c r="I23" i="9"/>
  <c r="J88" i="9"/>
  <c r="J40" i="11" s="1"/>
  <c r="J33" i="12" s="1"/>
  <c r="J36" i="13" s="1"/>
  <c r="G34" i="15" s="1"/>
  <c r="I88" i="9"/>
  <c r="I40" i="11" s="1"/>
  <c r="I33" i="12" s="1"/>
  <c r="I36" i="13" s="1"/>
  <c r="F34" i="15" s="1"/>
  <c r="H40" i="11"/>
  <c r="H33" i="12" s="1"/>
  <c r="H36" i="13" s="1"/>
  <c r="I79" i="9"/>
  <c r="J79" i="9"/>
  <c r="J78" i="9"/>
  <c r="I78" i="9"/>
  <c r="H66" i="8"/>
  <c r="J66" i="8" s="1"/>
  <c r="H15" i="12"/>
  <c r="H18" i="13" s="1"/>
  <c r="E24" i="15" s="1"/>
  <c r="G24" i="15" s="1"/>
  <c r="J76" i="9"/>
  <c r="I76" i="9"/>
  <c r="J59" i="9"/>
  <c r="J38" i="11" s="1"/>
  <c r="I59" i="9"/>
  <c r="I31" i="12" s="1"/>
  <c r="I34" i="13" s="1"/>
  <c r="F32" i="15" s="1"/>
  <c r="I43" i="10"/>
  <c r="I16" i="10"/>
  <c r="M16" i="10" s="1"/>
  <c r="H77" i="9"/>
  <c r="H80" i="9" s="1"/>
  <c r="H33" i="11"/>
  <c r="H21" i="12" s="1"/>
  <c r="H24" i="13" s="1"/>
  <c r="I35" i="8"/>
  <c r="J35" i="8"/>
  <c r="J56" i="8"/>
  <c r="I56" i="8"/>
  <c r="G5" i="11"/>
  <c r="G23" i="11"/>
  <c r="H5" i="11"/>
  <c r="J5" i="11" s="1"/>
  <c r="J43" i="11" s="1"/>
  <c r="H23" i="11"/>
  <c r="J23" i="11" s="1"/>
  <c r="J49" i="12" s="1"/>
  <c r="H14" i="11"/>
  <c r="H16" i="11" s="1"/>
  <c r="H45" i="11" s="1"/>
  <c r="H48" i="12" s="1"/>
  <c r="H51" i="13" s="1"/>
  <c r="H61" i="9"/>
  <c r="H38" i="11" s="1"/>
  <c r="H31" i="12" s="1"/>
  <c r="H34" i="13" s="1"/>
  <c r="E32" i="15" s="1"/>
  <c r="G32" i="15" s="1"/>
  <c r="J46" i="10"/>
  <c r="N46" i="10" s="1"/>
  <c r="K16" i="10"/>
  <c r="O16" i="10" s="1"/>
  <c r="K43" i="10"/>
  <c r="H45" i="10"/>
  <c r="L45" i="10" s="1"/>
  <c r="J69" i="9"/>
  <c r="J17" i="9"/>
  <c r="J33" i="11" s="1"/>
  <c r="J21" i="12" s="1"/>
  <c r="J24" i="13" s="1"/>
  <c r="I36" i="11"/>
  <c r="K84" i="6"/>
  <c r="K82" i="6"/>
  <c r="I16" i="9"/>
  <c r="C13" i="15"/>
  <c r="I15" i="9"/>
  <c r="J59" i="6"/>
  <c r="E37" i="8"/>
  <c r="E38" i="8" s="1"/>
  <c r="I17" i="9"/>
  <c r="I33" i="11" s="1"/>
  <c r="I21" i="12" s="1"/>
  <c r="I24" i="13" s="1"/>
  <c r="I67" i="9"/>
  <c r="I42" i="9"/>
  <c r="I69" i="9"/>
  <c r="J36" i="11"/>
  <c r="H24" i="12"/>
  <c r="J24" i="12" s="1"/>
  <c r="I25" i="9"/>
  <c r="F37" i="8"/>
  <c r="F38" i="8" s="1"/>
  <c r="I43" i="9"/>
  <c r="I24" i="12" s="1"/>
  <c r="K59" i="6"/>
  <c r="I14" i="9"/>
  <c r="D37" i="8"/>
  <c r="D38" i="8" s="1"/>
  <c r="G37" i="8"/>
  <c r="G38" i="8" s="1"/>
  <c r="I68" i="9"/>
  <c r="G36" i="15"/>
  <c r="J67" i="9"/>
  <c r="E35" i="15"/>
  <c r="H70" i="9"/>
  <c r="J68" i="9"/>
  <c r="H20" i="10"/>
  <c r="L19" i="10"/>
  <c r="E29" i="15"/>
  <c r="G29" i="15" s="1"/>
  <c r="G31" i="15"/>
  <c r="J77" i="9" l="1"/>
  <c r="I77" i="9"/>
  <c r="F26" i="15"/>
  <c r="I66" i="8"/>
  <c r="J15" i="12"/>
  <c r="I15" i="12"/>
  <c r="J18" i="13"/>
  <c r="I18" i="13"/>
  <c r="F24" i="15" s="1"/>
  <c r="J31" i="12"/>
  <c r="J34" i="13" s="1"/>
  <c r="J61" i="9"/>
  <c r="E34" i="15"/>
  <c r="M43" i="10"/>
  <c r="I44" i="10"/>
  <c r="I17" i="10"/>
  <c r="M17" i="10" s="1"/>
  <c r="H46" i="8"/>
  <c r="H47" i="8" s="1"/>
  <c r="I47" i="8" s="1"/>
  <c r="J47" i="10"/>
  <c r="N47" i="10" s="1"/>
  <c r="J46" i="11"/>
  <c r="J26" i="12"/>
  <c r="J41" i="12"/>
  <c r="J44" i="13" s="1"/>
  <c r="J52" i="13"/>
  <c r="J25" i="11"/>
  <c r="H25" i="11"/>
  <c r="H46" i="11" s="1"/>
  <c r="H49" i="12" s="1"/>
  <c r="H52" i="13" s="1"/>
  <c r="E42" i="15" s="1"/>
  <c r="G42" i="15" s="1"/>
  <c r="I23" i="11"/>
  <c r="I49" i="12" s="1"/>
  <c r="I14" i="11"/>
  <c r="I48" i="12" s="1"/>
  <c r="I34" i="11"/>
  <c r="J7" i="11"/>
  <c r="H7" i="11"/>
  <c r="H43" i="11" s="1"/>
  <c r="H41" i="12" s="1"/>
  <c r="H44" i="13" s="1"/>
  <c r="E39" i="15" s="1"/>
  <c r="G39" i="15" s="1"/>
  <c r="I5" i="11"/>
  <c r="I44" i="13" s="1"/>
  <c r="F39" i="15" s="1"/>
  <c r="J14" i="11"/>
  <c r="J48" i="12" s="1"/>
  <c r="J51" i="13" s="1"/>
  <c r="I23" i="12"/>
  <c r="I26" i="13" s="1"/>
  <c r="F29" i="15" s="1"/>
  <c r="I33" i="9"/>
  <c r="H46" i="10"/>
  <c r="L46" i="10" s="1"/>
  <c r="O43" i="10"/>
  <c r="K44" i="10"/>
  <c r="O44" i="10" s="1"/>
  <c r="K17" i="10"/>
  <c r="O17" i="10" s="1"/>
  <c r="F37" i="15"/>
  <c r="I51" i="9"/>
  <c r="F25" i="15"/>
  <c r="H26" i="12"/>
  <c r="H27" i="13"/>
  <c r="J27" i="13" s="1"/>
  <c r="I61" i="9"/>
  <c r="I38" i="11"/>
  <c r="G13" i="15"/>
  <c r="F27" i="15"/>
  <c r="F36" i="15"/>
  <c r="I22" i="12"/>
  <c r="H37" i="8"/>
  <c r="I37" i="8" s="1"/>
  <c r="I25" i="12"/>
  <c r="I28" i="13" s="1"/>
  <c r="F31" i="15" s="1"/>
  <c r="I70" i="9"/>
  <c r="H41" i="11"/>
  <c r="J70" i="9"/>
  <c r="G35" i="15"/>
  <c r="F35" i="15"/>
  <c r="E41" i="15"/>
  <c r="G41" i="15" s="1"/>
  <c r="H21" i="10"/>
  <c r="L20" i="10"/>
  <c r="H39" i="11" l="1"/>
  <c r="H32" i="12" s="1"/>
  <c r="H35" i="13" s="1"/>
  <c r="E33" i="15" s="1"/>
  <c r="I80" i="9"/>
  <c r="I39" i="11" s="1"/>
  <c r="I32" i="12" s="1"/>
  <c r="I35" i="13" s="1"/>
  <c r="F33" i="15" s="1"/>
  <c r="J80" i="9"/>
  <c r="J39" i="11" s="1"/>
  <c r="J32" i="12" s="1"/>
  <c r="J35" i="13" s="1"/>
  <c r="G33" i="15" s="1"/>
  <c r="I18" i="10"/>
  <c r="M18" i="10" s="1"/>
  <c r="M44" i="10"/>
  <c r="I45" i="10"/>
  <c r="J47" i="8"/>
  <c r="J46" i="8"/>
  <c r="H65" i="8"/>
  <c r="H14" i="12" s="1"/>
  <c r="I46" i="8"/>
  <c r="J29" i="13"/>
  <c r="I46" i="11"/>
  <c r="I25" i="11"/>
  <c r="I52" i="13"/>
  <c r="F42" i="15" s="1"/>
  <c r="J45" i="11"/>
  <c r="I43" i="11"/>
  <c r="I45" i="11"/>
  <c r="I51" i="13"/>
  <c r="F41" i="15" s="1"/>
  <c r="J16" i="11"/>
  <c r="I16" i="11"/>
  <c r="I41" i="12"/>
  <c r="I7" i="11"/>
  <c r="K18" i="10"/>
  <c r="O18" i="10" s="1"/>
  <c r="K45" i="10"/>
  <c r="O45" i="10" s="1"/>
  <c r="H47" i="10"/>
  <c r="L47" i="10" s="1"/>
  <c r="I27" i="13"/>
  <c r="F30" i="15" s="1"/>
  <c r="E30" i="15"/>
  <c r="G30" i="15" s="1"/>
  <c r="H29" i="13"/>
  <c r="I26" i="12"/>
  <c r="I25" i="13"/>
  <c r="F28" i="15" s="1"/>
  <c r="J37" i="8"/>
  <c r="H38" i="8"/>
  <c r="H64" i="8" s="1"/>
  <c r="I41" i="11"/>
  <c r="H34" i="12"/>
  <c r="J41" i="11"/>
  <c r="L21" i="10"/>
  <c r="H22" i="10"/>
  <c r="M45" i="10" l="1"/>
  <c r="I46" i="10"/>
  <c r="I19" i="10"/>
  <c r="M19" i="10" s="1"/>
  <c r="J65" i="8"/>
  <c r="I65" i="8"/>
  <c r="J48" i="10"/>
  <c r="N48" i="10" s="1"/>
  <c r="H7" i="8"/>
  <c r="K46" i="10"/>
  <c r="O46" i="10" s="1"/>
  <c r="H48" i="10"/>
  <c r="L48" i="10" s="1"/>
  <c r="K19" i="10"/>
  <c r="O19" i="10" s="1"/>
  <c r="I38" i="8"/>
  <c r="I29" i="13"/>
  <c r="J38" i="8"/>
  <c r="H35" i="12"/>
  <c r="H37" i="13"/>
  <c r="J34" i="12"/>
  <c r="J35" i="12" s="1"/>
  <c r="I34" i="12"/>
  <c r="I35" i="12" s="1"/>
  <c r="I14" i="12"/>
  <c r="J14" i="12"/>
  <c r="H17" i="13"/>
  <c r="J64" i="8"/>
  <c r="H13" i="12"/>
  <c r="I64" i="8"/>
  <c r="H23" i="10"/>
  <c r="L22" i="10"/>
  <c r="I20" i="10" l="1"/>
  <c r="M20" i="10" s="1"/>
  <c r="M46" i="10"/>
  <c r="I47" i="10"/>
  <c r="J49" i="10"/>
  <c r="N49" i="10" s="1"/>
  <c r="J57" i="10" s="1"/>
  <c r="H10" i="8"/>
  <c r="I10" i="8" s="1"/>
  <c r="H9" i="8"/>
  <c r="I9" i="8" s="1"/>
  <c r="H27" i="8" s="1"/>
  <c r="I27" i="8" s="1"/>
  <c r="H8" i="8"/>
  <c r="H25" i="8"/>
  <c r="K47" i="10"/>
  <c r="O47" i="10" s="1"/>
  <c r="H49" i="10"/>
  <c r="L49" i="10" s="1"/>
  <c r="J55" i="10" s="1"/>
  <c r="K20" i="10"/>
  <c r="O20" i="10" s="1"/>
  <c r="H38" i="13"/>
  <c r="I37" i="13"/>
  <c r="I38" i="13" s="1"/>
  <c r="J37" i="13"/>
  <c r="J38" i="13" s="1"/>
  <c r="E23" i="15"/>
  <c r="G23" i="15" s="1"/>
  <c r="I17" i="13"/>
  <c r="F23" i="15" s="1"/>
  <c r="J17" i="13"/>
  <c r="J13" i="12"/>
  <c r="H16" i="13"/>
  <c r="I13" i="12"/>
  <c r="H24" i="10"/>
  <c r="L23" i="10"/>
  <c r="I21" i="10" l="1"/>
  <c r="M21" i="10" s="1"/>
  <c r="M47" i="10"/>
  <c r="I48" i="10"/>
  <c r="I8" i="8"/>
  <c r="I26" i="8" s="1"/>
  <c r="J8" i="8"/>
  <c r="N57" i="10"/>
  <c r="L57" i="10"/>
  <c r="J28" i="8"/>
  <c r="J10" i="8"/>
  <c r="H11" i="8"/>
  <c r="I11" i="8" s="1"/>
  <c r="J27" i="8"/>
  <c r="K48" i="10"/>
  <c r="O48" i="10" s="1"/>
  <c r="K21" i="10"/>
  <c r="O21" i="10" s="1"/>
  <c r="J16" i="13"/>
  <c r="E22" i="15"/>
  <c r="G22" i="15" s="1"/>
  <c r="I16" i="13"/>
  <c r="F22" i="15" s="1"/>
  <c r="H25" i="10"/>
  <c r="L24" i="10"/>
  <c r="M48" i="10" l="1"/>
  <c r="I49" i="10"/>
  <c r="M49" i="10" s="1"/>
  <c r="I22" i="10"/>
  <c r="M22" i="10" s="1"/>
  <c r="J26" i="8"/>
  <c r="I28" i="8"/>
  <c r="H29" i="8"/>
  <c r="J29" i="8" s="1"/>
  <c r="H61" i="8"/>
  <c r="J11" i="8"/>
  <c r="K22" i="10"/>
  <c r="O22" i="10" s="1"/>
  <c r="K49" i="10"/>
  <c r="O49" i="10" s="1"/>
  <c r="H26" i="10"/>
  <c r="L26" i="10" s="1"/>
  <c r="L25" i="10"/>
  <c r="J56" i="10" l="1"/>
  <c r="N56" i="10" s="1"/>
  <c r="I23" i="10"/>
  <c r="M23" i="10" s="1"/>
  <c r="J19" i="8"/>
  <c r="I19" i="8"/>
  <c r="H20" i="8"/>
  <c r="J17" i="8"/>
  <c r="I17" i="8"/>
  <c r="J61" i="8"/>
  <c r="I29" i="8"/>
  <c r="H63" i="8"/>
  <c r="I63" i="8" s="1"/>
  <c r="H10" i="12"/>
  <c r="I61" i="8"/>
  <c r="J58" i="10"/>
  <c r="L58" i="10" s="1"/>
  <c r="K23" i="10"/>
  <c r="O23" i="10" s="1"/>
  <c r="J31" i="10"/>
  <c r="J29" i="10"/>
  <c r="L56" i="10" l="1"/>
  <c r="I24" i="10"/>
  <c r="M24" i="10" s="1"/>
  <c r="J20" i="8"/>
  <c r="H62" i="8"/>
  <c r="H11" i="12" s="1"/>
  <c r="I20" i="8"/>
  <c r="H13" i="13"/>
  <c r="H12" i="12"/>
  <c r="H15" i="13" s="1"/>
  <c r="E21" i="15" s="1"/>
  <c r="G21" i="15" s="1"/>
  <c r="J63" i="8"/>
  <c r="I10" i="12"/>
  <c r="J10" i="12"/>
  <c r="J59" i="10"/>
  <c r="N59" i="10" s="1"/>
  <c r="N58" i="10"/>
  <c r="K24" i="10"/>
  <c r="O24" i="10" s="1"/>
  <c r="I25" i="10" l="1"/>
  <c r="M25" i="10" s="1"/>
  <c r="H14" i="13"/>
  <c r="H19" i="13" s="1"/>
  <c r="J11" i="12"/>
  <c r="I11" i="12"/>
  <c r="J62" i="8"/>
  <c r="I62" i="8"/>
  <c r="H67" i="8"/>
  <c r="I67" i="8" s="1"/>
  <c r="I55" i="11" s="1"/>
  <c r="J13" i="13"/>
  <c r="J15" i="13"/>
  <c r="I15" i="13"/>
  <c r="F21" i="15" s="1"/>
  <c r="E19" i="15"/>
  <c r="J12" i="12"/>
  <c r="I13" i="13"/>
  <c r="H16" i="12"/>
  <c r="I12" i="12"/>
  <c r="L59" i="10"/>
  <c r="H44" i="11"/>
  <c r="J44" i="11" s="1"/>
  <c r="K25" i="10"/>
  <c r="O25" i="10" s="1"/>
  <c r="I26" i="10" l="1"/>
  <c r="M26" i="10" s="1"/>
  <c r="I16" i="12"/>
  <c r="J16" i="12"/>
  <c r="E20" i="15"/>
  <c r="G20" i="15" s="1"/>
  <c r="I14" i="13"/>
  <c r="F20" i="15" s="1"/>
  <c r="J14" i="13"/>
  <c r="J19" i="13" s="1"/>
  <c r="J67" i="8"/>
  <c r="J55" i="11" s="1"/>
  <c r="H55" i="11"/>
  <c r="G19" i="15"/>
  <c r="F19" i="15"/>
  <c r="I44" i="11"/>
  <c r="H47" i="12"/>
  <c r="H50" i="12" s="1"/>
  <c r="K26" i="10"/>
  <c r="O26" i="10" s="1"/>
  <c r="J32" i="10" s="1"/>
  <c r="J30" i="10" l="1"/>
  <c r="I19" i="13"/>
  <c r="J47" i="12"/>
  <c r="J50" i="12" s="1"/>
  <c r="I47" i="12"/>
  <c r="I50" i="12" s="1"/>
  <c r="H50" i="13"/>
  <c r="H53" i="13" s="1"/>
  <c r="L32" i="10"/>
  <c r="L30" i="10" l="1"/>
  <c r="J33" i="10"/>
  <c r="N30" i="10"/>
  <c r="I50" i="13"/>
  <c r="F40" i="15" s="1"/>
  <c r="J50" i="13"/>
  <c r="J53" i="13" s="1"/>
  <c r="E40" i="15"/>
  <c r="G40" i="15" s="1"/>
  <c r="N32" i="10"/>
  <c r="L33" i="10" l="1"/>
  <c r="I53" i="13"/>
  <c r="N33" i="10"/>
  <c r="H42" i="11"/>
  <c r="J42" i="11" s="1"/>
  <c r="J47" i="11" s="1"/>
  <c r="J57" i="11" s="1"/>
  <c r="H40" i="12" l="1"/>
  <c r="H42" i="12" s="1"/>
  <c r="H47" i="11"/>
  <c r="H57" i="11" s="1"/>
  <c r="H59" i="11" s="1"/>
  <c r="I42" i="11"/>
  <c r="I47" i="11" s="1"/>
  <c r="I57" i="11" s="1"/>
  <c r="H61" i="11" l="1"/>
  <c r="I59" i="11"/>
  <c r="I54" i="12" s="1"/>
  <c r="J59" i="11"/>
  <c r="H54" i="12"/>
  <c r="H57" i="13" s="1"/>
  <c r="H43" i="13"/>
  <c r="J43" i="13" s="1"/>
  <c r="J45" i="13" s="1"/>
  <c r="I40" i="12"/>
  <c r="I42" i="12" s="1"/>
  <c r="J40" i="12"/>
  <c r="J42" i="12" s="1"/>
  <c r="J58" i="12" s="1"/>
  <c r="I58" i="12" l="1"/>
  <c r="H58" i="12"/>
  <c r="E43" i="15"/>
  <c r="J57" i="13"/>
  <c r="I57" i="13"/>
  <c r="J54" i="12"/>
  <c r="J61" i="11"/>
  <c r="I61" i="11"/>
  <c r="E38" i="15"/>
  <c r="I43" i="13"/>
  <c r="I45" i="13" s="1"/>
  <c r="H45" i="13"/>
  <c r="G43" i="15" l="1"/>
  <c r="K42" i="12"/>
  <c r="K33" i="12"/>
  <c r="K47" i="12"/>
  <c r="K16" i="12"/>
  <c r="K22" i="12"/>
  <c r="K40" i="12"/>
  <c r="K12" i="12"/>
  <c r="I61" i="13"/>
  <c r="E13" i="15" s="1"/>
  <c r="K54" i="12"/>
  <c r="K26" i="12"/>
  <c r="K14" i="12"/>
  <c r="K50" i="12"/>
  <c r="K13" i="12"/>
  <c r="K24" i="12"/>
  <c r="K48" i="12"/>
  <c r="K58" i="12"/>
  <c r="K21" i="12"/>
  <c r="K35" i="12"/>
  <c r="K41" i="12"/>
  <c r="K23" i="12"/>
  <c r="H63" i="13"/>
  <c r="K32" i="12"/>
  <c r="K49" i="12"/>
  <c r="K10" i="12"/>
  <c r="K31" i="12"/>
  <c r="K25" i="12"/>
  <c r="K15" i="12"/>
  <c r="K34" i="12"/>
  <c r="K11" i="12"/>
  <c r="F43" i="15"/>
  <c r="J61" i="13"/>
  <c r="H61" i="13"/>
  <c r="G38" i="15"/>
  <c r="G44" i="15" s="1"/>
  <c r="E44" i="15"/>
  <c r="F38" i="15"/>
  <c r="H64" i="13" l="1"/>
  <c r="H65" i="13" s="1"/>
  <c r="C50" i="15" s="1"/>
  <c r="H34" i="15"/>
  <c r="K57" i="13"/>
  <c r="K36" i="13"/>
  <c r="F44" i="15"/>
  <c r="D13" i="15"/>
  <c r="H13" i="15" s="1"/>
  <c r="H20" i="15"/>
  <c r="H24" i="15"/>
  <c r="H43" i="15"/>
  <c r="K18" i="13"/>
  <c r="K14" i="13"/>
  <c r="H29" i="15"/>
  <c r="H32" i="15"/>
  <c r="H19" i="15"/>
  <c r="H35" i="15"/>
  <c r="H22" i="15"/>
  <c r="H31" i="15"/>
  <c r="H39" i="15"/>
  <c r="H36" i="15"/>
  <c r="H26" i="15"/>
  <c r="H23" i="15"/>
  <c r="H21" i="15"/>
  <c r="H27" i="15"/>
  <c r="H40" i="15"/>
  <c r="H28" i="15"/>
  <c r="H41" i="15"/>
  <c r="H37" i="15"/>
  <c r="H42" i="15"/>
  <c r="H33" i="15"/>
  <c r="H30" i="15"/>
  <c r="H25" i="15"/>
  <c r="H38" i="15"/>
  <c r="K45" i="13"/>
  <c r="K24" i="13"/>
  <c r="K15" i="13"/>
  <c r="K53" i="13"/>
  <c r="K51" i="13"/>
  <c r="K34" i="13"/>
  <c r="K38" i="13"/>
  <c r="K13" i="13"/>
  <c r="K61" i="13"/>
  <c r="K27" i="13"/>
  <c r="K26" i="13"/>
  <c r="K16" i="13"/>
  <c r="K43" i="13"/>
  <c r="K37" i="13"/>
  <c r="K44" i="13"/>
  <c r="K28" i="13"/>
  <c r="K25" i="13"/>
  <c r="K35" i="13"/>
  <c r="K29" i="13"/>
  <c r="K17" i="13"/>
  <c r="K50" i="13"/>
  <c r="K19" i="13"/>
  <c r="K52" i="13"/>
  <c r="C51" i="15" l="1"/>
  <c r="C49" i="15"/>
  <c r="H44" i="15"/>
  <c r="C52" i="15" l="1"/>
</calcChain>
</file>

<file path=xl/sharedStrings.xml><?xml version="1.0" encoding="utf-8"?>
<sst xmlns="http://schemas.openxmlformats.org/spreadsheetml/2006/main" count="703" uniqueCount="328">
  <si>
    <t>Categoria</t>
  </si>
  <si>
    <t>Total</t>
  </si>
  <si>
    <t>Micro</t>
  </si>
  <si>
    <t>Ano Vigente</t>
  </si>
  <si>
    <t>Dias Úteis</t>
  </si>
  <si>
    <t>Número de Dias do Ano</t>
  </si>
  <si>
    <t>Sábados</t>
  </si>
  <si>
    <t>Dom./Fer.</t>
  </si>
  <si>
    <t>RUBRICA</t>
  </si>
  <si>
    <t>Combustível</t>
  </si>
  <si>
    <t>Material de Rodagem</t>
  </si>
  <si>
    <t>Veículo</t>
  </si>
  <si>
    <t>(l/km)</t>
  </si>
  <si>
    <t>Lubrificantes</t>
  </si>
  <si>
    <t>Peça e Acessórios</t>
  </si>
  <si>
    <t>Quantidade de Pneus por jogos</t>
  </si>
  <si>
    <t>VIDA ÚTIL TOTAL COM RECAPAGEM</t>
  </si>
  <si>
    <t>(km)</t>
  </si>
  <si>
    <t>Vida Útil da Frota</t>
  </si>
  <si>
    <t>Vida economicamente útil veículo</t>
  </si>
  <si>
    <t>Depr.</t>
  </si>
  <si>
    <t>Rem.</t>
  </si>
  <si>
    <t>Valor Residual da Frota</t>
  </si>
  <si>
    <t>Valor residual de veículo</t>
  </si>
  <si>
    <t>Valores</t>
  </si>
  <si>
    <t>Taxa de Juros</t>
  </si>
  <si>
    <t>Salário Base</t>
  </si>
  <si>
    <t>Cobrador</t>
  </si>
  <si>
    <t>Fiscal/despachante</t>
  </si>
  <si>
    <t>Encargos Sociais</t>
  </si>
  <si>
    <t>Motorista, Cobrador e Fiscal/Despachante</t>
  </si>
  <si>
    <t>(%)</t>
  </si>
  <si>
    <t>Pro-Labore</t>
  </si>
  <si>
    <t>Benefícios</t>
  </si>
  <si>
    <t>Pessoal de Manutenção</t>
  </si>
  <si>
    <t>Despesas Gerais</t>
  </si>
  <si>
    <t>Instalações e Equipamentos</t>
  </si>
  <si>
    <t>Fator de Remuneração:</t>
  </si>
  <si>
    <t>Fator de Depreciação:</t>
  </si>
  <si>
    <t>Material de Almoraxifado</t>
  </si>
  <si>
    <t>Percentuais de Tributação</t>
  </si>
  <si>
    <t>PIS</t>
  </si>
  <si>
    <t>ISS</t>
  </si>
  <si>
    <t>Total de Tributos</t>
  </si>
  <si>
    <t>TOTAL</t>
  </si>
  <si>
    <t>Frota</t>
  </si>
  <si>
    <t>Efetiva/Operacional</t>
  </si>
  <si>
    <t>Reserva</t>
  </si>
  <si>
    <t>00 a 01 ano</t>
  </si>
  <si>
    <t>01 a 02 anos</t>
  </si>
  <si>
    <t>02 a 03 anos</t>
  </si>
  <si>
    <t>03 a 04 anos</t>
  </si>
  <si>
    <t>04 a 05 anos</t>
  </si>
  <si>
    <t>05 a 06 anos</t>
  </si>
  <si>
    <t>06 a 07 anos</t>
  </si>
  <si>
    <t>09 a 10 anos</t>
  </si>
  <si>
    <t>+ de 10 anos</t>
  </si>
  <si>
    <t>Idade Média de Veículos da Frota</t>
  </si>
  <si>
    <t>Efetiva</t>
  </si>
  <si>
    <t>Ociosa</t>
  </si>
  <si>
    <t>Percurso Médio Mensal - PMM</t>
  </si>
  <si>
    <t>Passageiros Transportados</t>
  </si>
  <si>
    <t>Passageiros Equivalentes</t>
  </si>
  <si>
    <t>Índice de Passageiros por Quilometro - IPK</t>
  </si>
  <si>
    <t>Índice de Passageiros Equivalentes por Quilometro - IPKe</t>
  </si>
  <si>
    <t>Despesa</t>
  </si>
  <si>
    <t>Custo/km</t>
  </si>
  <si>
    <t>Custo/veíc.</t>
  </si>
  <si>
    <t>Total de Despesas de Combustível</t>
  </si>
  <si>
    <t>Total de Despesas de Lubrificantes</t>
  </si>
  <si>
    <t>Pneu</t>
  </si>
  <si>
    <t>Recapagem</t>
  </si>
  <si>
    <t>Câmara</t>
  </si>
  <si>
    <t>Protetor</t>
  </si>
  <si>
    <t>Total D. M. R.</t>
  </si>
  <si>
    <t>Total de Despesas Peças e Acessórios</t>
  </si>
  <si>
    <t>RESUMO DOS CUSTOS VARIÁVEIS</t>
  </si>
  <si>
    <t>DESPESAS DE COMBUSTÍVEL</t>
  </si>
  <si>
    <t>DESPESAS DE LUBRIFICANTES</t>
  </si>
  <si>
    <t>DESPESAS C/ MATERIAL DE RODAGEM</t>
  </si>
  <si>
    <t>DESPESAS C/ PEÇAS ACESSÓRIOS</t>
  </si>
  <si>
    <t>TOTAL DE CUSTOS VARIÁVEIS</t>
  </si>
  <si>
    <t>Fiscal/Despachante</t>
  </si>
  <si>
    <t>Total de Despesas c/ Benefícios</t>
  </si>
  <si>
    <t>Total de Despesas c/ Pro-Labore</t>
  </si>
  <si>
    <t>Despesas Gerais e Administrativas</t>
  </si>
  <si>
    <t>Total de Despesas Gerais e Administrativas</t>
  </si>
  <si>
    <t>Vlr./Veíc./mês</t>
  </si>
  <si>
    <t>-   Valor Residual</t>
  </si>
  <si>
    <t>-   Taxa Anual de Remuneração</t>
  </si>
  <si>
    <t>Classificação Faixa Etária</t>
  </si>
  <si>
    <t>Fator de Depreciação</t>
  </si>
  <si>
    <t>Custos de Depreciação</t>
  </si>
  <si>
    <t>Faixa</t>
  </si>
  <si>
    <t>Total de Depreciação de Veículos da Frota</t>
  </si>
  <si>
    <t>Fator de Remuneração</t>
  </si>
  <si>
    <t>Custos de Remuneração</t>
  </si>
  <si>
    <t>Total de Remuneração de Veículos da Frota</t>
  </si>
  <si>
    <t>Vlr. Relativo</t>
  </si>
  <si>
    <t>Total de Despesas c/ Depreciação de Instalações e Equipamentos</t>
  </si>
  <si>
    <t>RESUMO DOS CUSTOS FIXOS</t>
  </si>
  <si>
    <t>DESPESAS COM BENEFÍCIOS</t>
  </si>
  <si>
    <t>DESPESAS COM REMUNERAÇÃO DA DIRETORIA</t>
  </si>
  <si>
    <t>DESPESAS GERAIS E ADMINISTRATIVAS</t>
  </si>
  <si>
    <t>DEPRECIAÇÃO DE VEÍCULOS DA FROTA</t>
  </si>
  <si>
    <t>DEPRECIAÇÃO DE MÁQUINAS, INSTALAÇÕES E EQUIPAMENTOS</t>
  </si>
  <si>
    <t>REMUNERAÇÃO DE VEÍCULOS DA FROTA</t>
  </si>
  <si>
    <t>REMUNERAÇÃO DE MÁQUINAS, INSTALAÇÕES E EQUIPAMENTOS</t>
  </si>
  <si>
    <t>REMUNERAÇÃO DE MATERIAL DE ALMOXARIFADO</t>
  </si>
  <si>
    <t>TOTAL DE CUSTOS FIXOS</t>
  </si>
  <si>
    <t>RESUMO DOS CUSTOS VARIÁVEIS E FIXOS SEM TRIBUTAÇÃO</t>
  </si>
  <si>
    <t>TOTALIZAÇÃO DAS DESPESAS E CUSTOS NÃO TRIBUTADOS</t>
  </si>
  <si>
    <t>DISCRIMINAÇÃO</t>
  </si>
  <si>
    <t>%</t>
  </si>
  <si>
    <t>.   Despesas de Operação</t>
  </si>
  <si>
    <t>Subtotal</t>
  </si>
  <si>
    <t>.   Custos de Capital - Depreciação</t>
  </si>
  <si>
    <t>.   Custos de Capital - Remuneração</t>
  </si>
  <si>
    <t>.   Totalização das Despesas e Custos</t>
  </si>
  <si>
    <t>TOTALIZAÇÃO DAS DESPESAS E CUSTOS COM TRIBUTAÇÃO</t>
  </si>
  <si>
    <t xml:space="preserve">  . Tributo fixado em:</t>
  </si>
  <si>
    <t>da Receita</t>
  </si>
  <si>
    <t xml:space="preserve">  . Total da Receita Sem Tributação</t>
  </si>
  <si>
    <t xml:space="preserve">  . Total da Tributação</t>
  </si>
  <si>
    <t xml:space="preserve">  . Total Receita Com Tributação</t>
  </si>
  <si>
    <t>NOME</t>
  </si>
  <si>
    <t xml:space="preserve">QUILOMETRAGEM </t>
  </si>
  <si>
    <t>REMUNERAÇÃO</t>
  </si>
  <si>
    <t>Custo por km</t>
  </si>
  <si>
    <t>PASSAGEIROS</t>
  </si>
  <si>
    <t>IPKE</t>
  </si>
  <si>
    <t>MENSAL</t>
  </si>
  <si>
    <t>PROGRAMADA</t>
  </si>
  <si>
    <t>EQUIVALENTE</t>
  </si>
  <si>
    <t>Custo/Veíc.</t>
  </si>
  <si>
    <t>DESPESAS COM COBRADOR</t>
  </si>
  <si>
    <t>DESPESAS COM PESSOAL DE FISCALIZAÇÃO</t>
  </si>
  <si>
    <t>CUSTOS VARIÁVEIS</t>
  </si>
  <si>
    <t>CUSTOS FIXOS</t>
  </si>
  <si>
    <t>DESPESAS COM SEGURO OBRIGATÓRIO</t>
  </si>
  <si>
    <t>DESPESAS COM SEGURO DE RESPONSABILIDADE C. FACULT.</t>
  </si>
  <si>
    <t>TOTALIZAÇÃO</t>
  </si>
  <si>
    <t>TOTAL DE CUSTOS</t>
  </si>
  <si>
    <t xml:space="preserve">            Remuneração: Deduzida a depreciação</t>
  </si>
  <si>
    <t>Nota:  Método de depreciação: Soma dos dígitos</t>
  </si>
  <si>
    <t>Total de Despesas c/ Remuneração de Instalações e Equipamentos</t>
  </si>
  <si>
    <t>Total de Despesas c/ Remuneração de Material de Almoxarifado</t>
  </si>
  <si>
    <t xml:space="preserve">  . Transferência Tributária</t>
  </si>
  <si>
    <t>Volta</t>
  </si>
  <si>
    <t>Coef. de consumo de Peças e Acessórios</t>
  </si>
  <si>
    <t>Preço de uma Recapagem/Recauchutagem</t>
  </si>
  <si>
    <t>Preço Ponderado de um Pneu novo</t>
  </si>
  <si>
    <t>Preço de um litro de Óleo Diesel</t>
  </si>
  <si>
    <t>Preço Ponderado de uma Câmara-de-ar</t>
  </si>
  <si>
    <t>Preço Ponderado de um Protetor</t>
  </si>
  <si>
    <t>Preço Ponderado de um Veículo novo</t>
  </si>
  <si>
    <t>Preço Ponderado de um Veículo novo sem Rod.</t>
  </si>
  <si>
    <t>R$</t>
  </si>
  <si>
    <t>R$/ℓ</t>
  </si>
  <si>
    <t>R$/Veíc. ano</t>
  </si>
  <si>
    <t>Coeficientes - de Remuneração e Depreciação de Intalações e Equipamentos;</t>
  </si>
  <si>
    <t>Coeficientes - Remuneração de Material de Almoxarifado</t>
  </si>
  <si>
    <t>F.U.</t>
  </si>
  <si>
    <t>Qtd.</t>
  </si>
  <si>
    <t>Quantidade de jogos de Pneu</t>
  </si>
  <si>
    <t>Quantidade de recapagens por Pneu</t>
  </si>
  <si>
    <t>Quantidade de jogos de Câmara-de-ar (recap)</t>
  </si>
  <si>
    <t>Quantidade de jogos de Protetor (recap)</t>
  </si>
  <si>
    <t>1.2. - COMPOSIÇÃO DO PERÍODO</t>
  </si>
  <si>
    <t>1.3. - DADOS DE INSUMOS BÁSICOS</t>
  </si>
  <si>
    <t>Valor Anual de Seguro de Resp. Civil Facultativo</t>
  </si>
  <si>
    <t>Coef. de consumo equivalente em combustível</t>
  </si>
  <si>
    <t>Quilometragem Programada Mensal</t>
  </si>
  <si>
    <t>Desconto %</t>
  </si>
  <si>
    <t>Despesas c/ Remun. de Instal. e Equip.</t>
  </si>
  <si>
    <t>Despesas c/ Remun. de Mat. de Almox.</t>
  </si>
  <si>
    <t>Coef.</t>
  </si>
  <si>
    <t>anos</t>
  </si>
  <si>
    <t>%/PPVN</t>
  </si>
  <si>
    <t>Despesas c/ Deprec. de Instal. e Equip.</t>
  </si>
  <si>
    <t>Coeficiente de consumo médio de Combustível</t>
  </si>
  <si>
    <t>km</t>
  </si>
  <si>
    <t>1.4. - COEFICIENTES, VIDA ÚTIL, SALÁRIOS E PERCENTUAIS</t>
  </si>
  <si>
    <t>3. - CUSTOS VARIÁVEIS</t>
  </si>
  <si>
    <t>3.1. - DESPESAS COM COMBUSTÍVEL</t>
  </si>
  <si>
    <t>4. - CUSTOS FIXOS</t>
  </si>
  <si>
    <t>4.1. - DESPESAS COM PESSOAL</t>
  </si>
  <si>
    <t>4.1.4. - DESPESAS COM  BENEFÍCIOS</t>
  </si>
  <si>
    <t>4.1.5. - DESPESAS COM REMUNERAÇÃO DA DIRETORIA</t>
  </si>
  <si>
    <t>4.2. - DESPESAS ADMINISTRATIVAS</t>
  </si>
  <si>
    <t>4.2.1. - DESPESAS GERAIS</t>
  </si>
  <si>
    <t>4.2.2.1. - Seguro Obrigatório</t>
  </si>
  <si>
    <t>4.2.2.2 - Seguro de Resp. Civil Facultativa</t>
  </si>
  <si>
    <t>4.3. - CUSTOS DE CAPITAL</t>
  </si>
  <si>
    <t>4.3.1. - DEPRECIAÇÃO DE VEÍCULOS DA FROTA</t>
  </si>
  <si>
    <t>4.3.2. - REMUNERAÇÃO DE VEÍCULOS DA FROTA</t>
  </si>
  <si>
    <t>4.3.3. - DEPRECIAÇÃO DE MÁQUINAS, INSTALAÇÕES E EQUIPAMENTOS</t>
  </si>
  <si>
    <t>4.3.4. - REMUNERAÇÃO DE MÁQUINAS, INSTALAÇÕES E EQUIPAMENTOS</t>
  </si>
  <si>
    <t>4.3.5. - REMUNERAÇÃO DE MATERIAL DE ALMOXARIFADO</t>
  </si>
  <si>
    <t>Percentual da frota reserva técnica:</t>
  </si>
  <si>
    <t>.   Despesas com Pessoal</t>
  </si>
  <si>
    <t>.   Despesas de Administrativas</t>
  </si>
  <si>
    <t>.   Despesas Administrativas</t>
  </si>
  <si>
    <t>1. - ROTEIRO BÁSICO PARA CÁLCULO DA TARIFA</t>
  </si>
  <si>
    <t xml:space="preserve">Valor Mensal </t>
  </si>
  <si>
    <t>2. - ROTEIRO DE DADOS OPERACIONAIS</t>
  </si>
  <si>
    <t>Passageiros Transportados por Veículos/dia  -  PVD</t>
  </si>
  <si>
    <t>2.4.1. - ÍNDICE DE PASSAGEIROS</t>
  </si>
  <si>
    <t>07 a 08 anos</t>
  </si>
  <si>
    <t>DESPESAS C/ PEÇAS E ACESSÓRIOS</t>
  </si>
  <si>
    <t>Pro-Labore - Diretoria</t>
  </si>
  <si>
    <t xml:space="preserve">salário * fu </t>
  </si>
  <si>
    <t>R$/Veíc. Mês</t>
  </si>
  <si>
    <t>Manutenção</t>
  </si>
  <si>
    <t>Valor por Funcionário   -  mensal</t>
  </si>
  <si>
    <t>COFINS</t>
  </si>
  <si>
    <t>Taxa de Gerenciamento</t>
  </si>
  <si>
    <t>2.3.1. - PERCURSO MÉDIO MENSAL - PMM OPERACIONAL</t>
  </si>
  <si>
    <t>Fator de Utilização - Total</t>
  </si>
  <si>
    <t>FU Total</t>
  </si>
  <si>
    <t xml:space="preserve">Participação Ponderada da Frota </t>
  </si>
  <si>
    <t>Coeficiente Fator de Utilização com Horas Extras</t>
  </si>
  <si>
    <t>Coeficiente - Despesas Gerais</t>
  </si>
  <si>
    <t>Taxa Anual de Remuneração</t>
  </si>
  <si>
    <t>FU p/Func</t>
  </si>
  <si>
    <t xml:space="preserve">4.1.1. - DESPESAS COM PESSOAL DE OPERAÇÃO </t>
  </si>
  <si>
    <t xml:space="preserve">Total de com Pessoal de Operação </t>
  </si>
  <si>
    <t xml:space="preserve">DESPESAS COM PESSOAL DE OPERAÇÃO </t>
  </si>
  <si>
    <t xml:space="preserve">DESPESAS COM MOTORISTAS </t>
  </si>
  <si>
    <t>DESPESAS COM PESSOAL ADMINISTRATIVO/CONTROLE</t>
  </si>
  <si>
    <t>LEI FEDERAL - DESONERAÇÃO DA FOLHA</t>
  </si>
  <si>
    <t>Arla 32</t>
  </si>
  <si>
    <t xml:space="preserve">% </t>
  </si>
  <si>
    <t>DESPESAS COM ARLA 32</t>
  </si>
  <si>
    <t>3.3. - DESPESAS COM LUBRIFICANTES</t>
  </si>
  <si>
    <t>3.4. - DESPESAS COM MATERIAL DE RODAGEM</t>
  </si>
  <si>
    <t>3.5. - DESPESAS COM PEÇAS E ACESSÓRIOS</t>
  </si>
  <si>
    <t>3.2. - DESPESAS COM ARLA 32</t>
  </si>
  <si>
    <t>Total de Despesas com Arla 32</t>
  </si>
  <si>
    <t>3.6. - CUSTOS AMBIENTAIS</t>
  </si>
  <si>
    <t>Custos Ambientais</t>
  </si>
  <si>
    <t>Coef. do preço do veículo novo sem pneus</t>
  </si>
  <si>
    <t>DESPESAS COM CUSTOS AMBIENTAIS</t>
  </si>
  <si>
    <t>Remuneração pela Prestação dos Serviços</t>
  </si>
  <si>
    <t>TOTAL DA REMUNERAÇÃO PELA PRESTAÇÃO DOS SERVIÇOS</t>
  </si>
  <si>
    <t>TOTALIZAÇÃO DE CUSTOS + REMUNERAÇÃO</t>
  </si>
  <si>
    <t>REMUNERAÇÃO PELA PRESTAÇÃO DOS SERVIÇOS</t>
  </si>
  <si>
    <t>.   Remuneração pela Prestção dos Serviços</t>
  </si>
  <si>
    <t>METODOLOGIA DA PLANILHA FNE / NTU / ANTP - AGOSTO DE 2017</t>
  </si>
  <si>
    <t>Midi</t>
  </si>
  <si>
    <t>Mini</t>
  </si>
  <si>
    <t>Básico</t>
  </si>
  <si>
    <t xml:space="preserve">Micro </t>
  </si>
  <si>
    <t xml:space="preserve">2.2. - COMPOSIÇÃO DA CLASSIFICAÇÃO ETÁRIA DA FROTA </t>
  </si>
  <si>
    <t>Motorista   -  "veículo mini"</t>
  </si>
  <si>
    <t>Motorista   -  "veículo ônibus básico"</t>
  </si>
  <si>
    <t xml:space="preserve">4.1.2. - DESPESAS COM PESSOAL DE MANUTENÇÃO </t>
  </si>
  <si>
    <t xml:space="preserve">Total de Despesas c/ Pessoal de Manutenção </t>
  </si>
  <si>
    <t>Báscio</t>
  </si>
  <si>
    <t xml:space="preserve">DESPESAS COM PESSOAL DE MANUTENÇÃO </t>
  </si>
  <si>
    <t xml:space="preserve">REMUNERAÇÃO </t>
  </si>
  <si>
    <t>2.1. - COMPOSIÇÃO DA FROTA - PROPOSTA DO EDITAL DE LICITAÇÃO - PROJETO BÁSICO</t>
  </si>
  <si>
    <t>2.3. - COMPOSIÇÃO DA QUILOMETRAGEM MENSAL - PROJETO BÁSICO - EDITAL DE LICITAÇÃO</t>
  </si>
  <si>
    <t>2.4. - PAX TRANSP EQUIVALENTES (MÉDIA MENSAL DO EDITAL DE LICITAÇÃO) - PROJETO BÁSICO</t>
  </si>
  <si>
    <t>DESPESAS COM PESSOAL ADMINISTRATIVO</t>
  </si>
  <si>
    <t>4.1.3. - DESPESAS COM PESSOAL ADMINISTRATIVO</t>
  </si>
  <si>
    <t>Pessoal Administrativo</t>
  </si>
  <si>
    <t>Total de Despesas c/ Pessoal de Administrativo</t>
  </si>
  <si>
    <t>Administração</t>
  </si>
  <si>
    <t>Seguros e Licenciamento</t>
  </si>
  <si>
    <t>Despesas com Custeio e Manutenção da Bilhetagem Eletrônica</t>
  </si>
  <si>
    <t>Despesas com Custeio do Monitoramento da Frota</t>
  </si>
  <si>
    <t>Demais Despesas de Custeio e Manutenção</t>
  </si>
  <si>
    <t>Despesas com Manutenção dos Pontos e Abrigos</t>
  </si>
  <si>
    <t xml:space="preserve">RESUMO GERAL DE CUSTOS PROGRAMADOS COM TRIBUTOS </t>
  </si>
  <si>
    <t>COMPOSIÇÃO ANALÍTICA DOS CUSTOS PROGRAMADOS COM TRIBUTOS</t>
  </si>
  <si>
    <t xml:space="preserve">COMPOSIÇÃO SINTÉTICA DAS DESPESAS E CUSTOS PROGRAMADOS COM TRIBUTOS </t>
  </si>
  <si>
    <t>Licenciamento Anual</t>
  </si>
  <si>
    <t>Teconologia Embarcada</t>
  </si>
  <si>
    <t>Despesas com WiFi - Internet e Aplicativo</t>
  </si>
  <si>
    <t>Despesas com Câmeras no Interior dos Ônibus</t>
  </si>
  <si>
    <t>4.2.2. - DESPESAS COM SEGUROS E LICENCIAMENTO</t>
  </si>
  <si>
    <t>4.2.2.3 - Licenciamento</t>
  </si>
  <si>
    <t>4.2.3. - DESPESAS COM TECNOLOGIA EMBARCADA</t>
  </si>
  <si>
    <t>4.2.3.3 - Desp Internet WiFi  e Aplicativo</t>
  </si>
  <si>
    <t>4.2.3.4 - Câmeras no Interor do Ônibus</t>
  </si>
  <si>
    <t>Total de Despesas com Tecnologia Embarcada</t>
  </si>
  <si>
    <t>Total de Despesas com Seguros e Licenciamento</t>
  </si>
  <si>
    <t>4.2.3.2 - Desp Monitoramento por GPS</t>
  </si>
  <si>
    <t>4.2.3.1 - Bilhetagem Eletrônica</t>
  </si>
  <si>
    <t>4.2.4. - DEMAIS DESPESAS COM CUSTEIO E MANUTENÇÃO</t>
  </si>
  <si>
    <t>Total de Demais Despesas com Custeio e Manutenção</t>
  </si>
  <si>
    <t>Despesas com Custeio do Serviço 0800 - S.A.U.</t>
  </si>
  <si>
    <t>4.2.4.1 - Desp com Custeio do Serviço 0800 - S.A.U.</t>
  </si>
  <si>
    <t>4.2.4.2 - Desp Manutenção de Pontos e Abrigos</t>
  </si>
  <si>
    <t>DESESAS COM TECNOLOGIA EMBARCADA</t>
  </si>
  <si>
    <t>DESPESAS COM SEGUROS E LICENCIAMENTO</t>
  </si>
  <si>
    <t>DEMAIS DESPESAS COM CUSTEIO E MANUTENÇÃO</t>
  </si>
  <si>
    <t>DESPESAS COM SEGUROS  E LICENCIAMENTO</t>
  </si>
  <si>
    <t>DESPESES COM LICENCIAMENTO</t>
  </si>
  <si>
    <t xml:space="preserve">    DESESAS COM TECNOLOGIA EMBARCADA</t>
  </si>
  <si>
    <t xml:space="preserve">TARIFA </t>
  </si>
  <si>
    <t>08 a 09 anos</t>
  </si>
  <si>
    <t>PROPONENTE:</t>
  </si>
  <si>
    <t>__________________________________________________________</t>
  </si>
  <si>
    <t>PROPONENTE: _______________________________________________________</t>
  </si>
  <si>
    <t>SISTEMA DE TRANSPORTE COLETIVO PÚBLICO DE PASSAGEIROS DO MUNICÍPIO DE SÃO VICENTE</t>
  </si>
  <si>
    <t>27,35%  da Frota veículos Ônibus Básicos</t>
  </si>
  <si>
    <t>Risco Médio - % sobre o Custo Váriavel + Custo Fixo</t>
  </si>
  <si>
    <t>REDE PROPOSTA PARA NOVA CONCESSÃO - SISTEMA</t>
  </si>
  <si>
    <t xml:space="preserve">Valor Anual de Seguro Obrigatório </t>
  </si>
  <si>
    <t>PLANILHA DE CUSTOS TARIFÁRIOS - TRANSPORTE COLETIVO - FEVEREIRO DE 2019</t>
  </si>
  <si>
    <t>DADOS OPERACIONAIS - EDITAL DE CONCORRÊNCIA PÚBLICA Nº _____/2019</t>
  </si>
  <si>
    <t>Preço de Insumos e Custos Atualizados  para Fevereiro de 2019</t>
  </si>
  <si>
    <t>Veículos de 0 a 01 ano - 2019-2018</t>
  </si>
  <si>
    <t>Veículos de 01 a 02 anos - 2017</t>
  </si>
  <si>
    <t>Veículos de 02 a 03 anos - 2016</t>
  </si>
  <si>
    <t>Veículos de 03 a 04 anos - 2015</t>
  </si>
  <si>
    <t>Veículos de 04 a 05 anos - 2014</t>
  </si>
  <si>
    <t>Veículos de 05 a 06 anos - 2013</t>
  </si>
  <si>
    <t>Veículos de 06 a 07 anos - 2012</t>
  </si>
  <si>
    <t>Veículos de 07 a 08 anos - 2011</t>
  </si>
  <si>
    <t>Veículos de 08 a 09 anos - 2010</t>
  </si>
  <si>
    <t>Veículos de 09 a 10 anos - 2009</t>
  </si>
  <si>
    <t>Veículos de c/ + de 10 anos - 2008</t>
  </si>
  <si>
    <t>Motorista   -  "veículo midiônibus"</t>
  </si>
  <si>
    <t>Motorista   -  "veículo miniônibus"</t>
  </si>
  <si>
    <t>72,65% da Frota veículos Miniônibus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</si>
</sst>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6" formatCode="0.0000"/>
    <numFmt numFmtId="167" formatCode="0.000"/>
    <numFmt numFmtId="168" formatCode="#,##0.000"/>
    <numFmt numFmtId="169" formatCode="0.0"/>
    <numFmt numFmtId="170" formatCode="0.000000000"/>
    <numFmt numFmtId="171" formatCode="0.0000%"/>
    <numFmt numFmtId="172" formatCode="0.00000%"/>
    <numFmt numFmtId="173" formatCode="_(* #,##0.000000_);_(* \(#,##0.000000\);_(* &quot;-&quot;??_);_(@_)"/>
    <numFmt numFmtId="174" formatCode="_(\ \ 0_);_(\ \ \(0\);_(\ \ \ &quot;-&quot;??_);_(@_)"/>
    <numFmt numFmtId="175" formatCode="_(\ \ 0.00_);_(\ \ \(0.00\);_(\ \ \ &quot;-&quot;??_);_(@_)"/>
    <numFmt numFmtId="176" formatCode="0E+00"/>
    <numFmt numFmtId="177" formatCode="0.000000"/>
    <numFmt numFmtId="178" formatCode="_(* #,##0.0000_);_(* \(#,##0.0000\);_(* &quot;-&quot;??_);_(@_)"/>
    <numFmt numFmtId="179" formatCode="0.00000"/>
    <numFmt numFmtId="180" formatCode="0.0000000"/>
    <numFmt numFmtId="181" formatCode="_(* #,##0.000000000_);_(* \(#,##0.000000000\);_(* &quot;-&quot;??_);_(@_)"/>
    <numFmt numFmtId="182" formatCode="#,##0.00000"/>
    <numFmt numFmtId="183" formatCode="_-* #,##0.0000_-;\-* #,##0.0000_-;_-* &quot;-&quot;??_-;_-@_-"/>
    <numFmt numFmtId="184" formatCode="#,##0.00000000"/>
    <numFmt numFmtId="185" formatCode="_-* #,##0.0000000_-;\-* #,##0.0000000_-;_-* &quot;-&quot;??_-;_-@_-"/>
    <numFmt numFmtId="186" formatCode="_-* #,##0.00000000_-;\-* #,##0.00000000_-;_-* &quot;-&quot;??_-;_-@_-"/>
    <numFmt numFmtId="187" formatCode="#,##0.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1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b/>
      <sz val="10"/>
      <name val="Courier New"/>
      <family val="3"/>
    </font>
    <font>
      <b/>
      <sz val="9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21"/>
        <bgColor indexed="21"/>
      </patternFill>
    </fill>
    <fill>
      <patternFill patternType="solid">
        <fgColor indexed="21"/>
        <bgColor indexed="9"/>
      </patternFill>
    </fill>
    <fill>
      <patternFill patternType="solid">
        <fgColor indexed="44"/>
        <bgColor indexed="64"/>
      </patternFill>
    </fill>
    <fill>
      <patternFill patternType="mediumGray">
        <fgColor indexed="9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 style="thin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/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ck">
        <color rgb="FF0070C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17">
    <xf numFmtId="0" fontId="0" fillId="0" borderId="0" xfId="0"/>
    <xf numFmtId="0" fontId="9" fillId="2" borderId="0" xfId="0" applyFont="1" applyFill="1" applyProtection="1">
      <protection hidden="1"/>
    </xf>
    <xf numFmtId="0" fontId="9" fillId="2" borderId="1" xfId="0" applyFont="1" applyFill="1" applyBorder="1" applyProtection="1">
      <protection hidden="1"/>
    </xf>
    <xf numFmtId="0" fontId="6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13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4" fontId="15" fillId="3" borderId="0" xfId="0" applyNumberFormat="1" applyFont="1" applyFill="1"/>
    <xf numFmtId="4" fontId="18" fillId="3" borderId="0" xfId="0" applyNumberFormat="1" applyFont="1" applyFill="1"/>
    <xf numFmtId="0" fontId="15" fillId="0" borderId="0" xfId="0" applyFont="1" applyAlignment="1">
      <alignment horizontal="right" vertical="center"/>
    </xf>
    <xf numFmtId="4" fontId="15" fillId="0" borderId="0" xfId="0" applyNumberFormat="1" applyFont="1"/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right"/>
    </xf>
    <xf numFmtId="166" fontId="18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right"/>
    </xf>
    <xf numFmtId="166" fontId="18" fillId="0" borderId="0" xfId="0" applyNumberFormat="1" applyFont="1" applyAlignment="1">
      <alignment horizontal="center"/>
    </xf>
    <xf numFmtId="0" fontId="15" fillId="0" borderId="0" xfId="0" applyFont="1" applyAlignment="1">
      <alignment horizontal="left" indent="2"/>
    </xf>
    <xf numFmtId="3" fontId="11" fillId="4" borderId="2" xfId="2" applyNumberFormat="1" applyFont="1" applyFill="1" applyBorder="1" applyAlignment="1" applyProtection="1">
      <alignment horizontal="center"/>
      <protection hidden="1"/>
    </xf>
    <xf numFmtId="3" fontId="11" fillId="4" borderId="3" xfId="2" applyNumberFormat="1" applyFont="1" applyFill="1" applyBorder="1" applyAlignment="1" applyProtection="1">
      <alignment horizontal="center"/>
      <protection hidden="1"/>
    </xf>
    <xf numFmtId="3" fontId="12" fillId="0" borderId="2" xfId="2" applyNumberFormat="1" applyFont="1" applyBorder="1" applyAlignment="1" applyProtection="1">
      <alignment horizontal="center"/>
      <protection hidden="1"/>
    </xf>
    <xf numFmtId="3" fontId="12" fillId="0" borderId="3" xfId="2" applyNumberFormat="1" applyFont="1" applyBorder="1" applyAlignment="1" applyProtection="1">
      <alignment horizontal="center"/>
      <protection hidden="1"/>
    </xf>
    <xf numFmtId="3" fontId="11" fillId="0" borderId="0" xfId="2" applyNumberFormat="1" applyFont="1" applyBorder="1" applyAlignment="1" applyProtection="1">
      <alignment horizontal="center"/>
      <protection hidden="1"/>
    </xf>
    <xf numFmtId="10" fontId="18" fillId="0" borderId="0" xfId="0" applyNumberFormat="1" applyFont="1" applyAlignment="1">
      <alignment horizontal="center"/>
    </xf>
    <xf numFmtId="0" fontId="11" fillId="3" borderId="0" xfId="0" applyFont="1" applyFill="1"/>
    <xf numFmtId="166" fontId="18" fillId="3" borderId="0" xfId="0" applyNumberFormat="1" applyFont="1" applyFill="1" applyAlignment="1">
      <alignment horizontal="right"/>
    </xf>
    <xf numFmtId="0" fontId="1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/>
    </xf>
    <xf numFmtId="1" fontId="1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164" fontId="6" fillId="0" borderId="0" xfId="4" applyFont="1"/>
    <xf numFmtId="0" fontId="6" fillId="2" borderId="0" xfId="0" applyFont="1" applyFill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22" fillId="2" borderId="1" xfId="0" applyFont="1" applyFill="1" applyBorder="1" applyProtection="1">
      <protection hidden="1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 applyProtection="1">
      <protection hidden="1"/>
    </xf>
    <xf numFmtId="0" fontId="6" fillId="2" borderId="0" xfId="0" applyFont="1" applyFill="1" applyAlignment="1">
      <alignment horizontal="right"/>
    </xf>
    <xf numFmtId="0" fontId="12" fillId="0" borderId="0" xfId="0" applyFont="1" applyAlignment="1">
      <alignment horizontal="left"/>
    </xf>
    <xf numFmtId="166" fontId="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right"/>
    </xf>
    <xf numFmtId="168" fontId="15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169" fontId="6" fillId="0" borderId="0" xfId="0" applyNumberFormat="1" applyFont="1"/>
    <xf numFmtId="4" fontId="6" fillId="2" borderId="1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 applyAlignment="1">
      <alignment horizontal="center"/>
    </xf>
    <xf numFmtId="3" fontId="11" fillId="0" borderId="0" xfId="0" applyNumberFormat="1" applyFont="1"/>
    <xf numFmtId="2" fontId="6" fillId="2" borderId="1" xfId="0" applyNumberFormat="1" applyFont="1" applyFill="1" applyBorder="1" applyAlignment="1">
      <alignment horizontal="right"/>
    </xf>
    <xf numFmtId="2" fontId="6" fillId="2" borderId="1" xfId="0" applyNumberFormat="1" applyFont="1" applyFill="1" applyBorder="1"/>
    <xf numFmtId="164" fontId="6" fillId="0" borderId="0" xfId="0" applyNumberFormat="1" applyFont="1"/>
    <xf numFmtId="1" fontId="15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2" borderId="0" xfId="0" applyNumberFormat="1" applyFont="1" applyFill="1" applyAlignment="1">
      <alignment horizontal="right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/>
    <xf numFmtId="0" fontId="12" fillId="0" borderId="0" xfId="2" quotePrefix="1" applyFont="1" applyAlignment="1" applyProtection="1">
      <alignment horizontal="left"/>
      <protection hidden="1"/>
    </xf>
    <xf numFmtId="10" fontId="6" fillId="0" borderId="0" xfId="0" applyNumberFormat="1" applyFont="1" applyAlignment="1">
      <alignment horizontal="center"/>
    </xf>
    <xf numFmtId="0" fontId="12" fillId="0" borderId="0" xfId="2" applyFont="1" applyBorder="1" applyAlignment="1" applyProtection="1">
      <alignment horizontal="left"/>
      <protection hidden="1"/>
    </xf>
    <xf numFmtId="0" fontId="12" fillId="0" borderId="0" xfId="2" applyFont="1" applyProtection="1">
      <protection hidden="1"/>
    </xf>
    <xf numFmtId="4" fontId="11" fillId="0" borderId="0" xfId="0" applyNumberFormat="1" applyFont="1" applyAlignment="1">
      <alignment horizontal="right"/>
    </xf>
    <xf numFmtId="166" fontId="6" fillId="0" borderId="0" xfId="0" applyNumberFormat="1" applyFont="1"/>
    <xf numFmtId="0" fontId="10" fillId="0" borderId="0" xfId="0" applyFont="1" applyAlignment="1">
      <alignment horizontal="right"/>
    </xf>
    <xf numFmtId="4" fontId="11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center"/>
    </xf>
    <xf numFmtId="4" fontId="12" fillId="0" borderId="0" xfId="2" applyNumberFormat="1" applyFont="1" applyAlignment="1" applyProtection="1">
      <alignment horizontal="left"/>
      <protection hidden="1"/>
    </xf>
    <xf numFmtId="0" fontId="12" fillId="2" borderId="0" xfId="0" applyFont="1" applyFill="1" applyProtection="1">
      <protection hidden="1"/>
    </xf>
    <xf numFmtId="0" fontId="16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1" fillId="0" borderId="0" xfId="2" quotePrefix="1" applyFont="1" applyAlignment="1" applyProtection="1">
      <alignment horizontal="left"/>
      <protection hidden="1"/>
    </xf>
    <xf numFmtId="0" fontId="24" fillId="0" borderId="0" xfId="0" applyFont="1"/>
    <xf numFmtId="0" fontId="24" fillId="0" borderId="0" xfId="0" applyFont="1" applyAlignment="1">
      <alignment horizontal="left"/>
    </xf>
    <xf numFmtId="10" fontId="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10" fontId="10" fillId="0" borderId="0" xfId="0" applyNumberFormat="1" applyFont="1" applyAlignment="1">
      <alignment horizontal="right"/>
    </xf>
    <xf numFmtId="0" fontId="24" fillId="2" borderId="0" xfId="0" applyFont="1" applyFill="1" applyProtection="1">
      <protection hidden="1"/>
    </xf>
    <xf numFmtId="0" fontId="25" fillId="0" borderId="1" xfId="2" applyFont="1" applyBorder="1" applyAlignment="1" applyProtection="1">
      <alignment horizontal="left"/>
      <protection hidden="1"/>
    </xf>
    <xf numFmtId="0" fontId="25" fillId="0" borderId="0" xfId="2" applyFont="1" applyProtection="1">
      <protection hidden="1"/>
    </xf>
    <xf numFmtId="10" fontId="6" fillId="0" borderId="1" xfId="0" applyNumberFormat="1" applyFont="1" applyBorder="1" applyAlignment="1">
      <alignment horizontal="right"/>
    </xf>
    <xf numFmtId="0" fontId="11" fillId="0" borderId="0" xfId="2" applyFont="1" applyAlignment="1" applyProtection="1">
      <alignment horizontal="left"/>
      <protection hidden="1"/>
    </xf>
    <xf numFmtId="0" fontId="8" fillId="0" borderId="0" xfId="2" applyFont="1" applyAlignment="1" applyProtection="1">
      <alignment horizontal="left"/>
      <protection hidden="1"/>
    </xf>
    <xf numFmtId="0" fontId="28" fillId="0" borderId="0" xfId="0" applyFont="1"/>
    <xf numFmtId="0" fontId="22" fillId="2" borderId="0" xfId="0" applyFont="1" applyFill="1" applyProtection="1">
      <protection hidden="1"/>
    </xf>
    <xf numFmtId="4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10" fontId="6" fillId="0" borderId="0" xfId="0" applyNumberFormat="1" applyFont="1"/>
    <xf numFmtId="0" fontId="32" fillId="2" borderId="0" xfId="0" applyFont="1" applyFill="1" applyProtection="1">
      <protection hidden="1"/>
    </xf>
    <xf numFmtId="0" fontId="29" fillId="0" borderId="4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29" fillId="7" borderId="5" xfId="0" applyFont="1" applyFill="1" applyBorder="1" applyAlignment="1">
      <alignment horizontal="center"/>
    </xf>
    <xf numFmtId="0" fontId="30" fillId="8" borderId="6" xfId="0" applyFont="1" applyFill="1" applyBorder="1" applyAlignment="1">
      <alignment horizontal="center" vertical="center"/>
    </xf>
    <xf numFmtId="0" fontId="6" fillId="0" borderId="0" xfId="0" applyFont="1" applyBorder="1"/>
    <xf numFmtId="4" fontId="26" fillId="8" borderId="6" xfId="0" applyNumberFormat="1" applyFont="1" applyFill="1" applyBorder="1" applyAlignment="1">
      <alignment horizontal="right"/>
    </xf>
    <xf numFmtId="4" fontId="27" fillId="8" borderId="6" xfId="0" applyNumberFormat="1" applyFont="1" applyFill="1" applyBorder="1" applyAlignment="1">
      <alignment horizontal="center"/>
    </xf>
    <xf numFmtId="10" fontId="26" fillId="8" borderId="6" xfId="0" applyNumberFormat="1" applyFont="1" applyFill="1" applyBorder="1" applyAlignment="1">
      <alignment horizontal="center"/>
    </xf>
    <xf numFmtId="0" fontId="30" fillId="8" borderId="7" xfId="0" applyFont="1" applyFill="1" applyBorder="1" applyAlignment="1">
      <alignment horizontal="center" vertical="center"/>
    </xf>
    <xf numFmtId="168" fontId="27" fillId="8" borderId="7" xfId="0" applyNumberFormat="1" applyFont="1" applyFill="1" applyBorder="1" applyAlignment="1">
      <alignment horizontal="center"/>
    </xf>
    <xf numFmtId="4" fontId="28" fillId="0" borderId="8" xfId="0" applyNumberFormat="1" applyFont="1" applyBorder="1" applyAlignment="1">
      <alignment horizontal="right"/>
    </xf>
    <xf numFmtId="168" fontId="31" fillId="0" borderId="4" xfId="0" applyNumberFormat="1" applyFont="1" applyBorder="1" applyAlignment="1">
      <alignment horizontal="center"/>
    </xf>
    <xf numFmtId="168" fontId="31" fillId="0" borderId="8" xfId="0" applyNumberFormat="1" applyFont="1" applyBorder="1" applyAlignment="1">
      <alignment horizontal="center"/>
    </xf>
    <xf numFmtId="4" fontId="31" fillId="0" borderId="4" xfId="0" applyNumberFormat="1" applyFont="1" applyBorder="1" applyAlignment="1">
      <alignment horizontal="center"/>
    </xf>
    <xf numFmtId="4" fontId="31" fillId="0" borderId="8" xfId="0" applyNumberFormat="1" applyFont="1" applyBorder="1" applyAlignment="1">
      <alignment horizontal="center"/>
    </xf>
    <xf numFmtId="10" fontId="28" fillId="0" borderId="4" xfId="0" applyNumberFormat="1" applyFont="1" applyBorder="1" applyAlignment="1">
      <alignment horizontal="center"/>
    </xf>
    <xf numFmtId="10" fontId="28" fillId="0" borderId="8" xfId="0" applyNumberFormat="1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6" fillId="0" borderId="10" xfId="0" applyFont="1" applyBorder="1" applyAlignment="1"/>
    <xf numFmtId="0" fontId="12" fillId="0" borderId="0" xfId="0" applyFont="1" applyBorder="1" applyAlignment="1">
      <alignment horizontal="left"/>
    </xf>
    <xf numFmtId="0" fontId="6" fillId="0" borderId="11" xfId="0" applyFont="1" applyBorder="1" applyAlignment="1"/>
    <xf numFmtId="0" fontId="6" fillId="0" borderId="12" xfId="0" applyFont="1" applyBorder="1"/>
    <xf numFmtId="0" fontId="12" fillId="0" borderId="14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2" fillId="2" borderId="15" xfId="0" applyFont="1" applyFill="1" applyBorder="1" applyAlignment="1" applyProtection="1">
      <alignment horizontal="left" indent="1"/>
      <protection hidden="1"/>
    </xf>
    <xf numFmtId="0" fontId="12" fillId="2" borderId="16" xfId="0" applyFont="1" applyFill="1" applyBorder="1" applyAlignment="1" applyProtection="1">
      <alignment horizontal="left" indent="1"/>
      <protection hidden="1"/>
    </xf>
    <xf numFmtId="0" fontId="6" fillId="0" borderId="0" xfId="0" applyFont="1" applyFill="1"/>
    <xf numFmtId="0" fontId="3" fillId="0" borderId="0" xfId="1"/>
    <xf numFmtId="0" fontId="26" fillId="0" borderId="0" xfId="0" applyFont="1" applyAlignment="1">
      <alignment horizontal="center"/>
    </xf>
    <xf numFmtId="0" fontId="3" fillId="0" borderId="0" xfId="1" applyAlignment="1">
      <alignment horizontal="right"/>
    </xf>
    <xf numFmtId="0" fontId="15" fillId="0" borderId="0" xfId="0" applyFont="1" applyFill="1" applyAlignment="1">
      <alignment horizontal="right"/>
    </xf>
    <xf numFmtId="165" fontId="18" fillId="0" borderId="0" xfId="0" applyNumberFormat="1" applyFont="1" applyFill="1"/>
    <xf numFmtId="4" fontId="18" fillId="0" borderId="0" xfId="0" applyNumberFormat="1" applyFont="1" applyFill="1"/>
    <xf numFmtId="4" fontId="15" fillId="0" borderId="0" xfId="0" applyNumberFormat="1" applyFont="1" applyFill="1"/>
    <xf numFmtId="0" fontId="15" fillId="0" borderId="0" xfId="0" applyFont="1" applyFill="1" applyAlignment="1">
      <alignment horizontal="right" vertical="center"/>
    </xf>
    <xf numFmtId="0" fontId="15" fillId="0" borderId="0" xfId="0" applyFont="1" applyFill="1"/>
    <xf numFmtId="0" fontId="15" fillId="0" borderId="0" xfId="0" applyFont="1" applyFill="1" applyAlignment="1">
      <alignment horizontal="left" indent="2"/>
    </xf>
    <xf numFmtId="166" fontId="18" fillId="0" borderId="0" xfId="0" applyNumberFormat="1" applyFont="1" applyFill="1" applyAlignment="1">
      <alignment horizontal="center"/>
    </xf>
    <xf numFmtId="0" fontId="17" fillId="0" borderId="0" xfId="0" applyFont="1" applyFill="1"/>
    <xf numFmtId="3" fontId="15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 indent="3"/>
    </xf>
    <xf numFmtId="0" fontId="19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right"/>
    </xf>
    <xf numFmtId="10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0" fontId="17" fillId="0" borderId="0" xfId="0" applyFont="1" applyFill="1" applyAlignment="1"/>
    <xf numFmtId="10" fontId="18" fillId="0" borderId="0" xfId="0" applyNumberFormat="1" applyFont="1" applyFill="1" applyAlignment="1"/>
    <xf numFmtId="0" fontId="15" fillId="0" borderId="0" xfId="0" applyFont="1" applyFill="1" applyAlignment="1">
      <alignment horizontal="left"/>
    </xf>
    <xf numFmtId="1" fontId="15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10" fillId="0" borderId="0" xfId="0" applyFont="1"/>
    <xf numFmtId="0" fontId="15" fillId="0" borderId="0" xfId="0" applyFont="1" applyFill="1" applyBorder="1" applyAlignment="1">
      <alignment horizontal="left" indent="2"/>
    </xf>
    <xf numFmtId="4" fontId="18" fillId="0" borderId="0" xfId="0" applyNumberFormat="1" applyFont="1" applyFill="1" applyBorder="1"/>
    <xf numFmtId="0" fontId="15" fillId="0" borderId="0" xfId="0" applyFont="1" applyFill="1" applyBorder="1" applyAlignment="1">
      <alignment horizontal="right"/>
    </xf>
    <xf numFmtId="0" fontId="33" fillId="0" borderId="17" xfId="0" applyFont="1" applyBorder="1"/>
    <xf numFmtId="0" fontId="9" fillId="0" borderId="17" xfId="0" applyFont="1" applyFill="1" applyBorder="1"/>
    <xf numFmtId="0" fontId="12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right" vertical="center"/>
    </xf>
    <xf numFmtId="167" fontId="18" fillId="0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64" fontId="18" fillId="0" borderId="0" xfId="4" applyFont="1" applyFill="1" applyBorder="1" applyAlignment="1">
      <alignment horizontal="right"/>
    </xf>
    <xf numFmtId="166" fontId="18" fillId="0" borderId="0" xfId="0" applyNumberFormat="1" applyFont="1" applyAlignment="1">
      <alignment horizontal="right"/>
    </xf>
    <xf numFmtId="2" fontId="18" fillId="0" borderId="0" xfId="0" applyNumberFormat="1" applyFont="1" applyFill="1" applyAlignment="1">
      <alignment horizontal="right"/>
    </xf>
    <xf numFmtId="164" fontId="6" fillId="0" borderId="18" xfId="4" applyFont="1" applyBorder="1" applyAlignment="1"/>
    <xf numFmtId="0" fontId="36" fillId="0" borderId="0" xfId="0" applyFont="1" applyAlignment="1">
      <alignment horizontal="left" indent="2"/>
    </xf>
    <xf numFmtId="0" fontId="13" fillId="9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3" borderId="22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1" fontId="11" fillId="3" borderId="21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7" fillId="3" borderId="23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indent="2"/>
    </xf>
    <xf numFmtId="0" fontId="15" fillId="0" borderId="24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/>
    </xf>
    <xf numFmtId="0" fontId="15" fillId="0" borderId="27" xfId="0" applyFont="1" applyFill="1" applyBorder="1" applyAlignment="1">
      <alignment horizontal="left"/>
    </xf>
    <xf numFmtId="0" fontId="17" fillId="3" borderId="22" xfId="0" applyFont="1" applyFill="1" applyBorder="1" applyAlignment="1">
      <alignment horizontal="left"/>
    </xf>
    <xf numFmtId="1" fontId="11" fillId="3" borderId="22" xfId="0" applyNumberFormat="1" applyFont="1" applyFill="1" applyBorder="1" applyAlignment="1">
      <alignment horizontal="center"/>
    </xf>
    <xf numFmtId="0" fontId="21" fillId="3" borderId="22" xfId="0" applyFont="1" applyFill="1" applyBorder="1" applyAlignment="1">
      <alignment horizontal="left"/>
    </xf>
    <xf numFmtId="4" fontId="15" fillId="0" borderId="25" xfId="0" applyNumberFormat="1" applyFont="1" applyBorder="1"/>
    <xf numFmtId="0" fontId="20" fillId="3" borderId="21" xfId="0" applyFont="1" applyFill="1" applyBorder="1" applyAlignment="1">
      <alignment horizontal="left"/>
    </xf>
    <xf numFmtId="0" fontId="20" fillId="3" borderId="25" xfId="0" applyFont="1" applyFill="1" applyBorder="1" applyAlignment="1">
      <alignment horizontal="left"/>
    </xf>
    <xf numFmtId="4" fontId="15" fillId="0" borderId="28" xfId="0" applyNumberFormat="1" applyFont="1" applyBorder="1"/>
    <xf numFmtId="1" fontId="15" fillId="0" borderId="29" xfId="0" applyNumberFormat="1" applyFont="1" applyFill="1" applyBorder="1" applyAlignment="1">
      <alignment horizontal="center"/>
    </xf>
    <xf numFmtId="0" fontId="20" fillId="3" borderId="28" xfId="0" applyFont="1" applyFill="1" applyBorder="1" applyAlignment="1">
      <alignment horizontal="left"/>
    </xf>
    <xf numFmtId="0" fontId="15" fillId="3" borderId="28" xfId="0" applyFont="1" applyFill="1" applyBorder="1"/>
    <xf numFmtId="1" fontId="18" fillId="0" borderId="29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center"/>
    </xf>
    <xf numFmtId="4" fontId="12" fillId="3" borderId="21" xfId="0" applyNumberFormat="1" applyFont="1" applyFill="1" applyBorder="1" applyAlignment="1">
      <alignment horizontal="center"/>
    </xf>
    <xf numFmtId="4" fontId="12" fillId="3" borderId="19" xfId="0" applyNumberFormat="1" applyFont="1" applyFill="1" applyBorder="1" applyAlignment="1">
      <alignment horizontal="center"/>
    </xf>
    <xf numFmtId="0" fontId="6" fillId="0" borderId="24" xfId="0" applyFont="1" applyBorder="1"/>
    <xf numFmtId="3" fontId="15" fillId="0" borderId="24" xfId="0" applyNumberFormat="1" applyFont="1" applyFill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1" xfId="0" applyFont="1" applyBorder="1"/>
    <xf numFmtId="0" fontId="17" fillId="3" borderId="24" xfId="0" applyFont="1" applyFill="1" applyBorder="1" applyAlignment="1">
      <alignment horizontal="left" vertical="center"/>
    </xf>
    <xf numFmtId="1" fontId="15" fillId="0" borderId="24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3" fontId="15" fillId="3" borderId="30" xfId="0" applyNumberFormat="1" applyFont="1" applyFill="1" applyBorder="1"/>
    <xf numFmtId="3" fontId="11" fillId="0" borderId="31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9" borderId="20" xfId="0" applyFont="1" applyFill="1" applyBorder="1" applyAlignment="1">
      <alignment horizontal="right" vertical="center"/>
    </xf>
    <xf numFmtId="0" fontId="13" fillId="9" borderId="22" xfId="0" applyFont="1" applyFill="1" applyBorder="1" applyAlignment="1">
      <alignment horizontal="right" vertical="center"/>
    </xf>
    <xf numFmtId="0" fontId="13" fillId="9" borderId="22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3" fillId="1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9" borderId="22" xfId="0" applyFont="1" applyFill="1" applyBorder="1" applyAlignment="1">
      <alignment horizontal="left"/>
    </xf>
    <xf numFmtId="0" fontId="16" fillId="11" borderId="19" xfId="0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right" vertical="center"/>
    </xf>
    <xf numFmtId="0" fontId="16" fillId="8" borderId="19" xfId="0" applyFont="1" applyFill="1" applyBorder="1" applyAlignment="1">
      <alignment horizontal="center"/>
    </xf>
    <xf numFmtId="0" fontId="16" fillId="8" borderId="20" xfId="0" applyFont="1" applyFill="1" applyBorder="1" applyAlignment="1">
      <alignment horizontal="center"/>
    </xf>
    <xf numFmtId="168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6" fillId="0" borderId="22" xfId="0" applyFont="1" applyBorder="1"/>
    <xf numFmtId="4" fontId="11" fillId="0" borderId="22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168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6" fillId="11" borderId="22" xfId="0" applyFont="1" applyFill="1" applyBorder="1" applyAlignment="1">
      <alignment horizontal="center" vertical="center"/>
    </xf>
    <xf numFmtId="0" fontId="16" fillId="8" borderId="22" xfId="0" applyFont="1" applyFill="1" applyBorder="1" applyAlignment="1">
      <alignment horizontal="center"/>
    </xf>
    <xf numFmtId="0" fontId="16" fillId="11" borderId="22" xfId="0" applyFont="1" applyFill="1" applyBorder="1" applyAlignment="1">
      <alignment vertical="center"/>
    </xf>
    <xf numFmtId="0" fontId="16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166" fontId="5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166" fontId="5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/>
    </xf>
    <xf numFmtId="168" fontId="15" fillId="0" borderId="29" xfId="0" applyNumberFormat="1" applyFont="1" applyBorder="1" applyAlignment="1">
      <alignment horizontal="center"/>
    </xf>
    <xf numFmtId="4" fontId="15" fillId="0" borderId="29" xfId="0" applyNumberFormat="1" applyFont="1" applyBorder="1" applyAlignment="1">
      <alignment horizontal="right"/>
    </xf>
    <xf numFmtId="10" fontId="6" fillId="0" borderId="24" xfId="0" applyNumberFormat="1" applyFont="1" applyBorder="1" applyAlignment="1">
      <alignment horizontal="center"/>
    </xf>
    <xf numFmtId="10" fontId="6" fillId="0" borderId="29" xfId="0" applyNumberFormat="1" applyFont="1" applyBorder="1" applyAlignment="1">
      <alignment horizontal="center"/>
    </xf>
    <xf numFmtId="10" fontId="6" fillId="0" borderId="32" xfId="0" applyNumberFormat="1" applyFont="1" applyBorder="1" applyAlignment="1">
      <alignment horizontal="center"/>
    </xf>
    <xf numFmtId="0" fontId="8" fillId="0" borderId="19" xfId="2" applyFont="1" applyBorder="1" applyAlignment="1" applyProtection="1">
      <alignment horizontal="center" vertical="center"/>
      <protection hidden="1"/>
    </xf>
    <xf numFmtId="1" fontId="12" fillId="0" borderId="28" xfId="2" applyNumberFormat="1" applyFont="1" applyBorder="1" applyAlignment="1" applyProtection="1">
      <alignment horizontal="center"/>
      <protection hidden="1"/>
    </xf>
    <xf numFmtId="1" fontId="12" fillId="0" borderId="29" xfId="2" applyNumberFormat="1" applyFont="1" applyBorder="1" applyAlignment="1" applyProtection="1">
      <alignment horizontal="center"/>
      <protection hidden="1"/>
    </xf>
    <xf numFmtId="1" fontId="12" fillId="0" borderId="32" xfId="2" applyNumberFormat="1" applyFont="1" applyBorder="1" applyAlignment="1" applyProtection="1">
      <alignment horizontal="center"/>
      <protection hidden="1"/>
    </xf>
    <xf numFmtId="165" fontId="12" fillId="0" borderId="28" xfId="2" applyNumberFormat="1" applyFont="1" applyBorder="1" applyAlignment="1" applyProtection="1">
      <alignment horizontal="center"/>
      <protection hidden="1"/>
    </xf>
    <xf numFmtId="165" fontId="12" fillId="0" borderId="29" xfId="2" applyNumberFormat="1" applyFont="1" applyBorder="1" applyAlignment="1" applyProtection="1">
      <alignment horizontal="center"/>
      <protection hidden="1"/>
    </xf>
    <xf numFmtId="165" fontId="12" fillId="0" borderId="32" xfId="2" applyNumberFormat="1" applyFont="1" applyBorder="1" applyAlignment="1" applyProtection="1">
      <alignment horizontal="center"/>
      <protection hidden="1"/>
    </xf>
    <xf numFmtId="4" fontId="12" fillId="0" borderId="28" xfId="2" applyNumberFormat="1" applyFont="1" applyBorder="1" applyAlignment="1" applyProtection="1">
      <alignment horizontal="right"/>
      <protection hidden="1"/>
    </xf>
    <xf numFmtId="4" fontId="12" fillId="0" borderId="29" xfId="2" applyNumberFormat="1" applyFont="1" applyBorder="1" applyAlignment="1" applyProtection="1">
      <alignment horizontal="right"/>
      <protection hidden="1"/>
    </xf>
    <xf numFmtId="4" fontId="11" fillId="0" borderId="22" xfId="0" applyNumberFormat="1" applyFont="1" applyBorder="1" applyAlignment="1">
      <alignment horizontal="center"/>
    </xf>
    <xf numFmtId="0" fontId="16" fillId="11" borderId="19" xfId="0" applyFont="1" applyFill="1" applyBorder="1" applyAlignment="1">
      <alignment vertical="center"/>
    </xf>
    <xf numFmtId="4" fontId="6" fillId="0" borderId="29" xfId="0" applyNumberFormat="1" applyFont="1" applyBorder="1" applyAlignment="1">
      <alignment horizontal="center"/>
    </xf>
    <xf numFmtId="0" fontId="6" fillId="0" borderId="32" xfId="0" applyFont="1" applyBorder="1"/>
    <xf numFmtId="0" fontId="11" fillId="0" borderId="20" xfId="0" applyFont="1" applyBorder="1" applyAlignment="1">
      <alignment horizontal="left"/>
    </xf>
    <xf numFmtId="4" fontId="12" fillId="0" borderId="29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66" fontId="12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4" fontId="11" fillId="0" borderId="29" xfId="0" applyNumberFormat="1" applyFont="1" applyBorder="1" applyAlignment="1">
      <alignment horizontal="right"/>
    </xf>
    <xf numFmtId="168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/>
    </xf>
    <xf numFmtId="0" fontId="16" fillId="8" borderId="19" xfId="0" applyFont="1" applyFill="1" applyBorder="1" applyAlignment="1">
      <alignment horizontal="center" vertical="center"/>
    </xf>
    <xf numFmtId="0" fontId="16" fillId="8" borderId="20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10" fontId="6" fillId="0" borderId="31" xfId="0" applyNumberFormat="1" applyFont="1" applyBorder="1" applyAlignment="1">
      <alignment horizontal="center"/>
    </xf>
    <xf numFmtId="3" fontId="6" fillId="0" borderId="0" xfId="0" applyNumberFormat="1" applyFont="1"/>
    <xf numFmtId="0" fontId="16" fillId="8" borderId="22" xfId="0" applyFont="1" applyFill="1" applyBorder="1" applyAlignment="1">
      <alignment horizontal="center" vertical="center"/>
    </xf>
    <xf numFmtId="0" fontId="12" fillId="0" borderId="24" xfId="2" quotePrefix="1" applyFont="1" applyBorder="1" applyAlignment="1" applyProtection="1">
      <alignment horizontal="left"/>
      <protection hidden="1"/>
    </xf>
    <xf numFmtId="0" fontId="15" fillId="0" borderId="0" xfId="0" applyFont="1" applyFill="1" applyBorder="1"/>
    <xf numFmtId="10" fontId="18" fillId="0" borderId="0" xfId="0" applyNumberFormat="1" applyFont="1" applyFill="1" applyBorder="1" applyAlignment="1">
      <alignment horizontal="center"/>
    </xf>
    <xf numFmtId="10" fontId="11" fillId="0" borderId="0" xfId="0" applyNumberFormat="1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center"/>
    </xf>
    <xf numFmtId="170" fontId="17" fillId="0" borderId="0" xfId="0" applyNumberFormat="1" applyFont="1" applyFill="1"/>
    <xf numFmtId="0" fontId="34" fillId="0" borderId="0" xfId="0" applyFont="1"/>
    <xf numFmtId="4" fontId="37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right"/>
    </xf>
    <xf numFmtId="168" fontId="11" fillId="0" borderId="0" xfId="0" applyNumberFormat="1" applyFont="1" applyBorder="1" applyAlignment="1">
      <alignment horizontal="center"/>
    </xf>
    <xf numFmtId="0" fontId="24" fillId="2" borderId="0" xfId="0" applyFont="1" applyFill="1" applyBorder="1" applyProtection="1">
      <protection hidden="1"/>
    </xf>
    <xf numFmtId="4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24" fillId="2" borderId="24" xfId="0" applyFont="1" applyFill="1" applyBorder="1" applyProtection="1">
      <protection hidden="1"/>
    </xf>
    <xf numFmtId="4" fontId="6" fillId="0" borderId="24" xfId="0" applyNumberFormat="1" applyFont="1" applyBorder="1" applyAlignment="1">
      <alignment horizontal="right"/>
    </xf>
    <xf numFmtId="168" fontId="15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right"/>
    </xf>
    <xf numFmtId="10" fontId="6" fillId="0" borderId="24" xfId="0" applyNumberFormat="1" applyFont="1" applyBorder="1" applyAlignment="1">
      <alignment horizontal="right"/>
    </xf>
    <xf numFmtId="0" fontId="24" fillId="0" borderId="24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39" fontId="6" fillId="2" borderId="1" xfId="4" applyNumberFormat="1" applyFont="1" applyFill="1" applyBorder="1" applyAlignment="1">
      <alignment horizontal="right"/>
    </xf>
    <xf numFmtId="164" fontId="6" fillId="2" borderId="1" xfId="4" applyFont="1" applyFill="1" applyBorder="1"/>
    <xf numFmtId="4" fontId="12" fillId="0" borderId="28" xfId="2" applyNumberFormat="1" applyFont="1" applyBorder="1" applyAlignment="1" applyProtection="1">
      <alignment horizontal="center"/>
      <protection hidden="1"/>
    </xf>
    <xf numFmtId="4" fontId="12" fillId="0" borderId="29" xfId="2" applyNumberFormat="1" applyFont="1" applyBorder="1" applyAlignment="1" applyProtection="1">
      <alignment horizontal="center"/>
      <protection hidden="1"/>
    </xf>
    <xf numFmtId="4" fontId="12" fillId="0" borderId="32" xfId="2" applyNumberFormat="1" applyFont="1" applyBorder="1" applyAlignment="1" applyProtection="1">
      <alignment horizontal="center"/>
      <protection hidden="1"/>
    </xf>
    <xf numFmtId="0" fontId="6" fillId="0" borderId="0" xfId="0" applyFont="1" applyFill="1" applyBorder="1"/>
    <xf numFmtId="4" fontId="6" fillId="0" borderId="29" xfId="0" quotePrefix="1" applyNumberFormat="1" applyFont="1" applyBorder="1" applyAlignment="1">
      <alignment horizontal="center"/>
    </xf>
    <xf numFmtId="174" fontId="18" fillId="0" borderId="29" xfId="0" applyNumberFormat="1" applyFont="1" applyFill="1" applyBorder="1" applyAlignment="1">
      <alignment horizontal="center"/>
    </xf>
    <xf numFmtId="174" fontId="11" fillId="3" borderId="19" xfId="0" applyNumberFormat="1" applyFont="1" applyFill="1" applyBorder="1" applyAlignment="1">
      <alignment horizontal="center"/>
    </xf>
    <xf numFmtId="0" fontId="8" fillId="12" borderId="21" xfId="2" applyFont="1" applyFill="1" applyBorder="1" applyAlignment="1" applyProtection="1">
      <alignment horizontal="center" vertical="center"/>
      <protection hidden="1"/>
    </xf>
    <xf numFmtId="0" fontId="15" fillId="12" borderId="25" xfId="0" applyFont="1" applyFill="1" applyBorder="1" applyAlignment="1">
      <alignment horizontal="left"/>
    </xf>
    <xf numFmtId="4" fontId="12" fillId="0" borderId="33" xfId="2" applyNumberFormat="1" applyFont="1" applyBorder="1" applyAlignment="1" applyProtection="1">
      <alignment horizontal="center"/>
      <protection hidden="1"/>
    </xf>
    <xf numFmtId="0" fontId="15" fillId="12" borderId="26" xfId="0" applyFont="1" applyFill="1" applyBorder="1" applyAlignment="1">
      <alignment horizontal="left"/>
    </xf>
    <xf numFmtId="4" fontId="12" fillId="0" borderId="30" xfId="2" applyNumberFormat="1" applyFont="1" applyBorder="1" applyAlignment="1" applyProtection="1">
      <alignment horizontal="center"/>
      <protection hidden="1"/>
    </xf>
    <xf numFmtId="0" fontId="15" fillId="12" borderId="27" xfId="0" quotePrefix="1" applyFont="1" applyFill="1" applyBorder="1" applyAlignment="1">
      <alignment horizontal="left"/>
    </xf>
    <xf numFmtId="4" fontId="12" fillId="0" borderId="31" xfId="2" applyNumberFormat="1" applyFont="1" applyBorder="1" applyAlignment="1" applyProtection="1">
      <alignment horizontal="center"/>
      <protection hidden="1"/>
    </xf>
    <xf numFmtId="10" fontId="6" fillId="0" borderId="3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0" borderId="18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" xfId="0" applyFont="1" applyBorder="1"/>
    <xf numFmtId="0" fontId="6" fillId="0" borderId="37" xfId="0" applyFont="1" applyBorder="1" applyAlignment="1">
      <alignment horizontal="left"/>
    </xf>
    <xf numFmtId="4" fontId="5" fillId="0" borderId="0" xfId="0" applyNumberFormat="1" applyFont="1" applyFill="1"/>
    <xf numFmtId="4" fontId="5" fillId="0" borderId="0" xfId="0" applyNumberFormat="1" applyFont="1" applyFill="1" applyBorder="1"/>
    <xf numFmtId="3" fontId="4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1" fontId="1" fillId="0" borderId="29" xfId="0" applyNumberFormat="1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175" fontId="6" fillId="0" borderId="29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0" fontId="6" fillId="0" borderId="29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3" fontId="6" fillId="0" borderId="3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2" fontId="39" fillId="0" borderId="19" xfId="0" applyNumberFormat="1" applyFont="1" applyBorder="1" applyAlignment="1">
      <alignment horizontal="center"/>
    </xf>
    <xf numFmtId="1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left" indent="2"/>
    </xf>
    <xf numFmtId="172" fontId="6" fillId="0" borderId="0" xfId="0" applyNumberFormat="1" applyFont="1" applyAlignment="1">
      <alignment horizontal="right"/>
    </xf>
    <xf numFmtId="176" fontId="6" fillId="0" borderId="0" xfId="0" applyNumberFormat="1" applyFont="1"/>
    <xf numFmtId="4" fontId="10" fillId="2" borderId="0" xfId="0" applyNumberFormat="1" applyFont="1" applyFill="1" applyAlignment="1">
      <alignment horizontal="center"/>
    </xf>
    <xf numFmtId="10" fontId="18" fillId="2" borderId="0" xfId="0" applyNumberFormat="1" applyFont="1" applyFill="1" applyAlignment="1">
      <alignment horizontal="right"/>
    </xf>
    <xf numFmtId="166" fontId="18" fillId="2" borderId="0" xfId="0" applyNumberFormat="1" applyFont="1" applyFill="1" applyAlignment="1">
      <alignment horizontal="right"/>
    </xf>
    <xf numFmtId="4" fontId="18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6" fillId="2" borderId="1" xfId="0" applyNumberFormat="1" applyFont="1" applyFill="1" applyBorder="1"/>
    <xf numFmtId="165" fontId="11" fillId="0" borderId="30" xfId="0" applyNumberFormat="1" applyFont="1" applyFill="1" applyBorder="1" applyAlignment="1">
      <alignment horizontal="center" vertical="center"/>
    </xf>
    <xf numFmtId="164" fontId="15" fillId="0" borderId="29" xfId="4" applyFont="1" applyBorder="1" applyAlignment="1">
      <alignment horizontal="right"/>
    </xf>
    <xf numFmtId="0" fontId="12" fillId="3" borderId="22" xfId="0" applyFont="1" applyFill="1" applyBorder="1" applyAlignment="1">
      <alignment horizontal="left" vertical="center"/>
    </xf>
    <xf numFmtId="177" fontId="18" fillId="0" borderId="0" xfId="0" applyNumberFormat="1" applyFont="1" applyAlignment="1">
      <alignment horizontal="center"/>
    </xf>
    <xf numFmtId="4" fontId="11" fillId="0" borderId="21" xfId="0" applyNumberFormat="1" applyFont="1" applyBorder="1" applyAlignment="1">
      <alignment horizontal="right"/>
    </xf>
    <xf numFmtId="0" fontId="10" fillId="13" borderId="19" xfId="0" applyFont="1" applyFill="1" applyBorder="1" applyAlignment="1">
      <alignment horizontal="center" vertical="center"/>
    </xf>
    <xf numFmtId="4" fontId="12" fillId="0" borderId="32" xfId="2" applyNumberFormat="1" applyFont="1" applyBorder="1" applyAlignment="1" applyProtection="1">
      <alignment horizontal="right"/>
      <protection hidden="1"/>
    </xf>
    <xf numFmtId="4" fontId="12" fillId="0" borderId="0" xfId="2" applyNumberFormat="1" applyFont="1" applyBorder="1" applyAlignment="1" applyProtection="1">
      <alignment horizontal="right"/>
      <protection hidden="1"/>
    </xf>
    <xf numFmtId="4" fontId="6" fillId="0" borderId="29" xfId="0" quotePrefix="1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11" fillId="0" borderId="32" xfId="0" applyNumberFormat="1" applyFont="1" applyBorder="1" applyAlignment="1">
      <alignment horizontal="right"/>
    </xf>
    <xf numFmtId="4" fontId="11" fillId="0" borderId="31" xfId="0" applyNumberFormat="1" applyFont="1" applyBorder="1" applyAlignment="1">
      <alignment horizontal="right"/>
    </xf>
    <xf numFmtId="168" fontId="6" fillId="0" borderId="0" xfId="0" applyNumberFormat="1" applyFont="1"/>
    <xf numFmtId="168" fontId="1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8" fontId="11" fillId="0" borderId="32" xfId="0" applyNumberFormat="1" applyFont="1" applyBorder="1" applyAlignment="1">
      <alignment horizontal="center"/>
    </xf>
    <xf numFmtId="165" fontId="26" fillId="0" borderId="0" xfId="0" applyNumberFormat="1" applyFont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3" fontId="11" fillId="3" borderId="19" xfId="0" applyNumberFormat="1" applyFont="1" applyFill="1" applyBorder="1" applyAlignment="1">
      <alignment horizontal="center"/>
    </xf>
    <xf numFmtId="171" fontId="11" fillId="0" borderId="0" xfId="0" applyNumberFormat="1" applyFont="1"/>
    <xf numFmtId="10" fontId="38" fillId="0" borderId="0" xfId="0" applyNumberFormat="1" applyFont="1" applyAlignment="1">
      <alignment horizontal="center"/>
    </xf>
    <xf numFmtId="165" fontId="6" fillId="0" borderId="0" xfId="0" applyNumberFormat="1" applyFont="1"/>
    <xf numFmtId="164" fontId="6" fillId="2" borderId="1" xfId="0" applyNumberFormat="1" applyFont="1" applyFill="1" applyBorder="1"/>
    <xf numFmtId="173" fontId="15" fillId="0" borderId="0" xfId="4" applyNumberFormat="1" applyFont="1" applyAlignment="1">
      <alignment horizontal="center"/>
    </xf>
    <xf numFmtId="181" fontId="6" fillId="0" borderId="0" xfId="0" applyNumberFormat="1" applyFont="1"/>
    <xf numFmtId="2" fontId="6" fillId="0" borderId="0" xfId="0" applyNumberFormat="1" applyFont="1"/>
    <xf numFmtId="43" fontId="6" fillId="0" borderId="0" xfId="0" applyNumberFormat="1" applyFont="1"/>
    <xf numFmtId="184" fontId="6" fillId="0" borderId="0" xfId="0" applyNumberFormat="1" applyFont="1"/>
    <xf numFmtId="183" fontId="6" fillId="0" borderId="0" xfId="0" applyNumberFormat="1" applyFont="1"/>
    <xf numFmtId="165" fontId="18" fillId="0" borderId="0" xfId="0" applyNumberFormat="1" applyFont="1" applyFill="1" applyBorder="1"/>
    <xf numFmtId="10" fontId="10" fillId="0" borderId="0" xfId="0" applyNumberFormat="1" applyFont="1" applyFill="1" applyBorder="1" applyAlignment="1">
      <alignment horizontal="center"/>
    </xf>
    <xf numFmtId="186" fontId="6" fillId="0" borderId="0" xfId="0" applyNumberFormat="1" applyFont="1"/>
    <xf numFmtId="180" fontId="15" fillId="0" borderId="0" xfId="4" applyNumberFormat="1" applyFont="1" applyAlignment="1">
      <alignment horizontal="center"/>
    </xf>
    <xf numFmtId="182" fontId="10" fillId="0" borderId="0" xfId="0" applyNumberFormat="1" applyFont="1" applyAlignment="1">
      <alignment horizontal="right"/>
    </xf>
    <xf numFmtId="0" fontId="42" fillId="0" borderId="17" xfId="0" applyFont="1" applyBorder="1"/>
    <xf numFmtId="185" fontId="0" fillId="0" borderId="0" xfId="0" applyNumberFormat="1"/>
    <xf numFmtId="178" fontId="15" fillId="0" borderId="0" xfId="4" applyNumberFormat="1" applyFont="1" applyAlignment="1">
      <alignment horizontal="center"/>
    </xf>
    <xf numFmtId="179" fontId="15" fillId="0" borderId="0" xfId="0" applyNumberFormat="1" applyFont="1" applyAlignment="1">
      <alignment horizontal="center"/>
    </xf>
    <xf numFmtId="179" fontId="6" fillId="2" borderId="1" xfId="0" applyNumberFormat="1" applyFont="1" applyFill="1" applyBorder="1"/>
    <xf numFmtId="174" fontId="6" fillId="0" borderId="0" xfId="0" applyNumberFormat="1" applyFont="1"/>
    <xf numFmtId="165" fontId="37" fillId="0" borderId="0" xfId="0" applyNumberFormat="1" applyFont="1" applyAlignment="1">
      <alignment horizontal="center"/>
    </xf>
    <xf numFmtId="4" fontId="10" fillId="0" borderId="19" xfId="4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177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left" indent="2"/>
    </xf>
    <xf numFmtId="0" fontId="0" fillId="0" borderId="0" xfId="0" applyBorder="1"/>
    <xf numFmtId="0" fontId="6" fillId="2" borderId="0" xfId="0" applyFont="1" applyFill="1" applyBorder="1"/>
    <xf numFmtId="0" fontId="6" fillId="0" borderId="39" xfId="0" applyFont="1" applyBorder="1"/>
    <xf numFmtId="165" fontId="15" fillId="0" borderId="0" xfId="0" applyNumberFormat="1" applyFont="1" applyFill="1"/>
    <xf numFmtId="166" fontId="5" fillId="2" borderId="0" xfId="0" applyNumberFormat="1" applyFont="1" applyFill="1" applyAlignment="1">
      <alignment horizontal="right"/>
    </xf>
    <xf numFmtId="10" fontId="15" fillId="0" borderId="0" xfId="3" applyNumberFormat="1" applyFont="1" applyAlignment="1">
      <alignment horizontal="center"/>
    </xf>
    <xf numFmtId="174" fontId="15" fillId="0" borderId="29" xfId="0" applyNumberFormat="1" applyFont="1" applyFill="1" applyBorder="1" applyAlignment="1">
      <alignment horizontal="center"/>
    </xf>
    <xf numFmtId="182" fontId="41" fillId="0" borderId="0" xfId="0" applyNumberFormat="1" applyFont="1" applyBorder="1"/>
    <xf numFmtId="164" fontId="2" fillId="0" borderId="0" xfId="4" applyFont="1" applyFill="1" applyBorder="1" applyAlignment="1">
      <alignment horizontal="right"/>
    </xf>
    <xf numFmtId="173" fontId="6" fillId="0" borderId="0" xfId="4" applyNumberFormat="1" applyFont="1" applyBorder="1"/>
    <xf numFmtId="164" fontId="6" fillId="0" borderId="0" xfId="4" applyNumberFormat="1" applyFont="1" applyBorder="1"/>
    <xf numFmtId="0" fontId="2" fillId="0" borderId="0" xfId="0" applyFont="1"/>
    <xf numFmtId="4" fontId="15" fillId="0" borderId="0" xfId="0" applyNumberFormat="1" applyFont="1" applyAlignment="1">
      <alignment horizontal="right"/>
    </xf>
    <xf numFmtId="4" fontId="12" fillId="3" borderId="20" xfId="0" applyNumberFormat="1" applyFont="1" applyFill="1" applyBorder="1" applyAlignment="1">
      <alignment horizontal="right"/>
    </xf>
    <xf numFmtId="164" fontId="12" fillId="3" borderId="19" xfId="4" applyFont="1" applyFill="1" applyBorder="1" applyAlignment="1">
      <alignment horizontal="right"/>
    </xf>
    <xf numFmtId="0" fontId="9" fillId="2" borderId="0" xfId="0" applyFont="1" applyFill="1" applyBorder="1" applyProtection="1">
      <protection hidden="1"/>
    </xf>
    <xf numFmtId="0" fontId="6" fillId="2" borderId="0" xfId="0" applyFont="1" applyFill="1" applyBorder="1" applyAlignment="1">
      <alignment horizontal="right"/>
    </xf>
    <xf numFmtId="164" fontId="6" fillId="2" borderId="0" xfId="4" applyFont="1" applyFill="1" applyBorder="1"/>
    <xf numFmtId="4" fontId="10" fillId="0" borderId="3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right"/>
    </xf>
    <xf numFmtId="0" fontId="2" fillId="0" borderId="0" xfId="0" quotePrefix="1" applyFont="1"/>
    <xf numFmtId="0" fontId="10" fillId="0" borderId="41" xfId="0" applyFont="1" applyBorder="1"/>
    <xf numFmtId="0" fontId="1" fillId="0" borderId="38" xfId="0" applyFont="1" applyBorder="1" applyAlignment="1">
      <alignment horizontal="left"/>
    </xf>
    <xf numFmtId="166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/>
    <xf numFmtId="4" fontId="12" fillId="0" borderId="0" xfId="0" applyNumberFormat="1" applyFont="1" applyFill="1"/>
    <xf numFmtId="2" fontId="39" fillId="0" borderId="20" xfId="0" applyNumberFormat="1" applyFont="1" applyBorder="1" applyAlignment="1">
      <alignment horizontal="center"/>
    </xf>
    <xf numFmtId="1" fontId="0" fillId="0" borderId="0" xfId="0" applyNumberFormat="1" applyBorder="1"/>
    <xf numFmtId="164" fontId="18" fillId="0" borderId="0" xfId="4" applyFont="1" applyFill="1" applyAlignment="1">
      <alignment horizontal="center"/>
    </xf>
    <xf numFmtId="0" fontId="1" fillId="2" borderId="1" xfId="0" applyFont="1" applyFill="1" applyBorder="1"/>
    <xf numFmtId="3" fontId="11" fillId="4" borderId="1" xfId="2" applyNumberFormat="1" applyFont="1" applyFill="1" applyBorder="1" applyAlignment="1" applyProtection="1">
      <alignment horizontal="center"/>
      <protection hidden="1"/>
    </xf>
    <xf numFmtId="3" fontId="12" fillId="0" borderId="1" xfId="2" applyNumberFormat="1" applyFont="1" applyBorder="1" applyAlignment="1" applyProtection="1">
      <alignment horizontal="center"/>
      <protection hidden="1"/>
    </xf>
    <xf numFmtId="0" fontId="1" fillId="0" borderId="0" xfId="0" applyFont="1"/>
    <xf numFmtId="0" fontId="10" fillId="0" borderId="1" xfId="0" applyFont="1" applyBorder="1"/>
    <xf numFmtId="4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/>
    </xf>
    <xf numFmtId="168" fontId="11" fillId="0" borderId="19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164" fontId="0" fillId="0" borderId="0" xfId="4" applyFont="1"/>
    <xf numFmtId="0" fontId="12" fillId="0" borderId="0" xfId="0" applyFont="1" applyFill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10" fontId="39" fillId="0" borderId="0" xfId="3" applyNumberFormat="1" applyFont="1" applyBorder="1" applyAlignment="1">
      <alignment horizontal="center"/>
    </xf>
    <xf numFmtId="4" fontId="11" fillId="0" borderId="23" xfId="0" applyNumberFormat="1" applyFont="1" applyBorder="1" applyAlignment="1">
      <alignment horizontal="right"/>
    </xf>
    <xf numFmtId="168" fontId="11" fillId="0" borderId="23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168" fontId="15" fillId="0" borderId="43" xfId="0" applyNumberFormat="1" applyFont="1" applyBorder="1" applyAlignment="1">
      <alignment horizontal="center"/>
    </xf>
    <xf numFmtId="4" fontId="15" fillId="0" borderId="43" xfId="0" applyNumberFormat="1" applyFont="1" applyBorder="1" applyAlignment="1">
      <alignment horizontal="right"/>
    </xf>
    <xf numFmtId="10" fontId="6" fillId="0" borderId="43" xfId="0" applyNumberFormat="1" applyFont="1" applyBorder="1" applyAlignment="1">
      <alignment horizontal="right"/>
    </xf>
    <xf numFmtId="4" fontId="10" fillId="0" borderId="44" xfId="0" applyNumberFormat="1" applyFont="1" applyBorder="1" applyAlignment="1">
      <alignment horizontal="right"/>
    </xf>
    <xf numFmtId="168" fontId="11" fillId="0" borderId="44" xfId="0" applyNumberFormat="1" applyFont="1" applyBorder="1" applyAlignment="1">
      <alignment horizontal="center"/>
    </xf>
    <xf numFmtId="4" fontId="11" fillId="0" borderId="44" xfId="0" applyNumberFormat="1" applyFont="1" applyBorder="1" applyAlignment="1">
      <alignment horizontal="right"/>
    </xf>
    <xf numFmtId="10" fontId="10" fillId="0" borderId="44" xfId="0" applyNumberFormat="1" applyFont="1" applyBorder="1" applyAlignment="1">
      <alignment horizontal="right"/>
    </xf>
    <xf numFmtId="0" fontId="12" fillId="0" borderId="45" xfId="0" applyFont="1" applyBorder="1" applyAlignment="1">
      <alignment horizontal="left" indent="1"/>
    </xf>
    <xf numFmtId="4" fontId="28" fillId="0" borderId="46" xfId="0" applyNumberFormat="1" applyFont="1" applyBorder="1" applyAlignment="1">
      <alignment horizontal="right"/>
    </xf>
    <xf numFmtId="168" fontId="31" fillId="0" borderId="46" xfId="0" applyNumberFormat="1" applyFont="1" applyBorder="1" applyAlignment="1">
      <alignment horizontal="center"/>
    </xf>
    <xf numFmtId="4" fontId="31" fillId="0" borderId="46" xfId="0" applyNumberFormat="1" applyFont="1" applyBorder="1" applyAlignment="1">
      <alignment horizontal="center"/>
    </xf>
    <xf numFmtId="10" fontId="28" fillId="0" borderId="46" xfId="0" applyNumberFormat="1" applyFont="1" applyBorder="1" applyAlignment="1">
      <alignment horizontal="center"/>
    </xf>
    <xf numFmtId="0" fontId="6" fillId="0" borderId="12" xfId="0" applyFont="1" applyBorder="1" applyAlignment="1"/>
    <xf numFmtId="168" fontId="31" fillId="0" borderId="13" xfId="0" applyNumberFormat="1" applyFont="1" applyBorder="1" applyAlignment="1">
      <alignment horizontal="center"/>
    </xf>
    <xf numFmtId="0" fontId="12" fillId="2" borderId="45" xfId="0" applyFont="1" applyFill="1" applyBorder="1" applyAlignment="1" applyProtection="1">
      <alignment horizontal="left" indent="1"/>
      <protection hidden="1"/>
    </xf>
    <xf numFmtId="4" fontId="28" fillId="0" borderId="5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" fillId="0" borderId="0" xfId="0" applyFont="1" applyBorder="1"/>
    <xf numFmtId="0" fontId="12" fillId="2" borderId="44" xfId="0" applyFont="1" applyFill="1" applyBorder="1" applyProtection="1">
      <protection hidden="1"/>
    </xf>
    <xf numFmtId="0" fontId="12" fillId="2" borderId="42" xfId="0" quotePrefix="1" applyFont="1" applyFill="1" applyBorder="1" applyProtection="1">
      <protection hidden="1"/>
    </xf>
    <xf numFmtId="0" fontId="6" fillId="0" borderId="36" xfId="0" applyFont="1" applyBorder="1" applyAlignment="1">
      <alignment horizontal="left"/>
    </xf>
    <xf numFmtId="0" fontId="1" fillId="0" borderId="1" xfId="0" quotePrefix="1" applyFont="1" applyBorder="1"/>
    <xf numFmtId="187" fontId="6" fillId="0" borderId="0" xfId="0" applyNumberFormat="1" applyFont="1"/>
    <xf numFmtId="0" fontId="1" fillId="0" borderId="1" xfId="0" applyFont="1" applyBorder="1"/>
    <xf numFmtId="164" fontId="11" fillId="0" borderId="0" xfId="4" applyFont="1" applyAlignment="1">
      <alignment horizontal="center"/>
    </xf>
    <xf numFmtId="171" fontId="26" fillId="0" borderId="0" xfId="0" applyNumberFormat="1" applyFont="1"/>
    <xf numFmtId="171" fontId="26" fillId="0" borderId="0" xfId="3" applyNumberFormat="1" applyFont="1"/>
    <xf numFmtId="171" fontId="6" fillId="0" borderId="0" xfId="0" applyNumberFormat="1" applyFont="1"/>
    <xf numFmtId="0" fontId="13" fillId="9" borderId="19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4" fontId="15" fillId="0" borderId="0" xfId="0" applyNumberFormat="1" applyFont="1" applyAlignment="1">
      <alignment horizontal="right"/>
    </xf>
    <xf numFmtId="168" fontId="11" fillId="0" borderId="19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/>
    </xf>
    <xf numFmtId="0" fontId="26" fillId="0" borderId="0" xfId="0" applyFont="1" applyAlignment="1"/>
    <xf numFmtId="0" fontId="29" fillId="0" borderId="0" xfId="0" applyFont="1" applyAlignment="1"/>
    <xf numFmtId="0" fontId="10" fillId="0" borderId="0" xfId="0" applyFont="1" applyAlignment="1"/>
    <xf numFmtId="166" fontId="1" fillId="0" borderId="0" xfId="0" applyNumberFormat="1" applyFont="1"/>
    <xf numFmtId="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1" fillId="0" borderId="0" xfId="3" applyNumberFormat="1" applyFont="1" applyAlignment="1">
      <alignment horizontal="center"/>
    </xf>
    <xf numFmtId="0" fontId="12" fillId="12" borderId="26" xfId="0" quotePrefix="1" applyFont="1" applyFill="1" applyBorder="1" applyAlignment="1">
      <alignment horizontal="left"/>
    </xf>
    <xf numFmtId="4" fontId="0" fillId="0" borderId="0" xfId="0" applyNumberFormat="1"/>
    <xf numFmtId="0" fontId="10" fillId="0" borderId="0" xfId="0" applyFont="1" applyAlignment="1">
      <alignment horizontal="center"/>
    </xf>
    <xf numFmtId="0" fontId="26" fillId="0" borderId="0" xfId="0" applyFont="1"/>
    <xf numFmtId="164" fontId="0" fillId="0" borderId="0" xfId="4" applyFont="1" applyFill="1" applyAlignment="1">
      <alignment horizontal="center" vertical="center"/>
    </xf>
    <xf numFmtId="4" fontId="2" fillId="0" borderId="29" xfId="4" applyNumberFormat="1" applyFont="1" applyFill="1" applyBorder="1" applyAlignment="1">
      <alignment horizontal="right"/>
    </xf>
    <xf numFmtId="43" fontId="6" fillId="0" borderId="0" xfId="0" applyNumberFormat="1" applyFont="1" applyFill="1" applyBorder="1"/>
    <xf numFmtId="43" fontId="6" fillId="2" borderId="1" xfId="0" applyNumberFormat="1" applyFont="1" applyFill="1" applyBorder="1"/>
    <xf numFmtId="4" fontId="28" fillId="0" borderId="0" xfId="0" applyNumberFormat="1" applyFont="1" applyAlignment="1">
      <alignment horizontal="right"/>
    </xf>
    <xf numFmtId="164" fontId="18" fillId="0" borderId="0" xfId="4" applyFont="1" applyFill="1" applyBorder="1"/>
    <xf numFmtId="164" fontId="12" fillId="0" borderId="0" xfId="4" applyFont="1" applyFill="1" applyBorder="1" applyAlignment="1">
      <alignment horizontal="left" indent="2"/>
    </xf>
    <xf numFmtId="10" fontId="6" fillId="0" borderId="0" xfId="3" applyNumberFormat="1" applyFont="1"/>
    <xf numFmtId="10" fontId="18" fillId="0" borderId="0" xfId="3" applyNumberFormat="1" applyFont="1" applyFill="1" applyBorder="1"/>
    <xf numFmtId="165" fontId="10" fillId="0" borderId="0" xfId="0" applyNumberFormat="1" applyFont="1" applyAlignment="1">
      <alignment horizontal="right"/>
    </xf>
    <xf numFmtId="4" fontId="6" fillId="0" borderId="0" xfId="0" applyNumberFormat="1" applyFont="1" applyBorder="1"/>
    <xf numFmtId="165" fontId="11" fillId="0" borderId="1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3" fillId="9" borderId="22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9" borderId="19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/>
    </xf>
    <xf numFmtId="0" fontId="13" fillId="9" borderId="20" xfId="0" applyFont="1" applyFill="1" applyBorder="1" applyAlignment="1">
      <alignment horizontal="center"/>
    </xf>
    <xf numFmtId="0" fontId="13" fillId="9" borderId="32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11" borderId="21" xfId="0" applyFont="1" applyFill="1" applyBorder="1" applyAlignment="1">
      <alignment horizontal="center" vertical="center"/>
    </xf>
    <xf numFmtId="0" fontId="16" fillId="11" borderId="19" xfId="0" applyFont="1" applyFill="1" applyBorder="1" applyAlignment="1">
      <alignment horizontal="center" vertical="center"/>
    </xf>
    <xf numFmtId="0" fontId="16" fillId="11" borderId="20" xfId="0" applyFont="1" applyFill="1" applyBorder="1" applyAlignment="1">
      <alignment horizontal="center" vertical="center"/>
    </xf>
    <xf numFmtId="0" fontId="16" fillId="11" borderId="22" xfId="0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168" fontId="11" fillId="0" borderId="20" xfId="0" applyNumberFormat="1" applyFont="1" applyBorder="1" applyAlignment="1">
      <alignment horizontal="center"/>
    </xf>
    <xf numFmtId="168" fontId="11" fillId="0" borderId="21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26" xfId="0" applyNumberFormat="1" applyFont="1" applyBorder="1" applyAlignment="1">
      <alignment horizontal="center"/>
    </xf>
    <xf numFmtId="168" fontId="15" fillId="0" borderId="30" xfId="0" applyNumberFormat="1" applyFont="1" applyBorder="1" applyAlignment="1">
      <alignment horizontal="center"/>
    </xf>
    <xf numFmtId="168" fontId="15" fillId="0" borderId="26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0" fontId="16" fillId="8" borderId="20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4" fontId="15" fillId="0" borderId="33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0" fontId="11" fillId="11" borderId="21" xfId="2" applyFont="1" applyFill="1" applyBorder="1" applyAlignment="1" applyProtection="1">
      <alignment horizontal="center" vertical="center"/>
      <protection hidden="1"/>
    </xf>
    <xf numFmtId="0" fontId="11" fillId="11" borderId="19" xfId="2" applyFont="1" applyFill="1" applyBorder="1" applyAlignment="1" applyProtection="1">
      <alignment horizontal="center" vertical="center"/>
      <protection hidden="1"/>
    </xf>
    <xf numFmtId="0" fontId="11" fillId="8" borderId="19" xfId="2" applyFont="1" applyFill="1" applyBorder="1" applyAlignment="1" applyProtection="1">
      <alignment horizontal="center" vertical="center"/>
      <protection hidden="1"/>
    </xf>
    <xf numFmtId="0" fontId="11" fillId="8" borderId="20" xfId="2" applyFont="1" applyFill="1" applyBorder="1" applyAlignment="1" applyProtection="1">
      <alignment horizontal="center" vertical="center"/>
      <protection hidden="1"/>
    </xf>
    <xf numFmtId="4" fontId="12" fillId="0" borderId="30" xfId="0" applyNumberFormat="1" applyFont="1" applyBorder="1" applyAlignment="1">
      <alignment horizontal="center"/>
    </xf>
    <xf numFmtId="4" fontId="12" fillId="0" borderId="26" xfId="0" applyNumberFormat="1" applyFont="1" applyBorder="1" applyAlignment="1">
      <alignment horizontal="center"/>
    </xf>
    <xf numFmtId="4" fontId="15" fillId="0" borderId="0" xfId="0" applyNumberFormat="1" applyFont="1" applyAlignment="1">
      <alignment horizontal="right"/>
    </xf>
    <xf numFmtId="4" fontId="15" fillId="0" borderId="31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center"/>
    </xf>
    <xf numFmtId="168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4" fontId="12" fillId="0" borderId="33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168" fontId="15" fillId="0" borderId="23" xfId="0" applyNumberFormat="1" applyFont="1" applyBorder="1" applyAlignment="1">
      <alignment horizontal="center"/>
    </xf>
    <xf numFmtId="168" fontId="15" fillId="0" borderId="25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168" fontId="15" fillId="0" borderId="0" xfId="0" applyNumberFormat="1" applyFont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0" fillId="8" borderId="28" xfId="0" applyFont="1" applyFill="1" applyBorder="1" applyAlignment="1">
      <alignment horizontal="center"/>
    </xf>
    <xf numFmtId="0" fontId="11" fillId="11" borderId="6" xfId="0" applyFont="1" applyFill="1" applyBorder="1" applyAlignment="1" applyProtection="1">
      <alignment horizontal="center"/>
      <protection hidden="1"/>
    </xf>
    <xf numFmtId="0" fontId="11" fillId="11" borderId="40" xfId="0" applyFont="1" applyFill="1" applyBorder="1" applyAlignment="1" applyProtection="1">
      <alignment horizontal="center"/>
      <protection hidden="1"/>
    </xf>
    <xf numFmtId="4" fontId="6" fillId="0" borderId="0" xfId="0" applyNumberFormat="1" applyFont="1" applyBorder="1" applyAlignment="1">
      <alignment horizontal="center"/>
    </xf>
    <xf numFmtId="0" fontId="29" fillId="11" borderId="4" xfId="0" applyFont="1" applyFill="1" applyBorder="1" applyAlignment="1">
      <alignment horizontal="center" vertical="center"/>
    </xf>
    <xf numFmtId="0" fontId="29" fillId="11" borderId="5" xfId="0" applyFon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vertical="center"/>
    </xf>
    <xf numFmtId="0" fontId="29" fillId="14" borderId="5" xfId="0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0" fillId="11" borderId="40" xfId="0" applyFont="1" applyFill="1" applyBorder="1" applyAlignment="1">
      <alignment horizontal="center" vertical="center"/>
    </xf>
  </cellXfs>
  <cellStyles count="5">
    <cellStyle name="Hiperlink" xfId="1" builtinId="8"/>
    <cellStyle name="Normal" xfId="0" builtinId="0"/>
    <cellStyle name="Normal_PL010799" xfId="2"/>
    <cellStyle name="Porcentagem" xfId="3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U159"/>
  <sheetViews>
    <sheetView showGridLines="0" tabSelected="1" topLeftCell="B1" zoomScaleNormal="100" zoomScaleSheetLayoutView="100" workbookViewId="0">
      <selection activeCell="J155" sqref="J155"/>
    </sheetView>
  </sheetViews>
  <sheetFormatPr defaultColWidth="9.140625" defaultRowHeight="13.35" customHeight="1" outlineLevelRow="1" x14ac:dyDescent="0.2"/>
  <cols>
    <col min="1" max="1" width="0.85546875" style="3" customWidth="1"/>
    <col min="2" max="2" width="1.85546875" style="3" customWidth="1"/>
    <col min="3" max="3" width="27.42578125" style="3" customWidth="1"/>
    <col min="4" max="4" width="9.140625" style="3" customWidth="1"/>
    <col min="5" max="5" width="9.42578125" style="3" customWidth="1"/>
    <col min="6" max="6" width="10.140625" style="3" customWidth="1"/>
    <col min="7" max="7" width="10.5703125" style="3" customWidth="1"/>
    <col min="8" max="9" width="13.85546875" style="3" customWidth="1"/>
    <col min="10" max="10" width="13.140625" style="3" customWidth="1"/>
    <col min="11" max="11" width="18.140625" style="3" customWidth="1"/>
    <col min="12" max="12" width="9.140625" style="3"/>
    <col min="13" max="13" width="19.140625" style="3" customWidth="1"/>
    <col min="14" max="14" width="16.5703125" style="3" customWidth="1"/>
    <col min="15" max="15" width="12" style="3" customWidth="1"/>
    <col min="16" max="16" width="39.5703125" style="3" customWidth="1"/>
    <col min="17" max="17" width="9.7109375" style="3" customWidth="1"/>
    <col min="18" max="19" width="9.140625" style="3"/>
    <col min="20" max="20" width="14" style="3" customWidth="1"/>
    <col min="21" max="21" width="11.28515625" style="3" customWidth="1"/>
    <col min="22" max="16384" width="9.140625" style="3"/>
  </cols>
  <sheetData>
    <row r="1" spans="1:16" ht="18" customHeight="1" x14ac:dyDescent="0.25">
      <c r="C1" s="542" t="s">
        <v>306</v>
      </c>
      <c r="D1" s="542"/>
      <c r="E1" s="542"/>
      <c r="F1" s="542"/>
      <c r="G1" s="542"/>
      <c r="H1" s="542"/>
      <c r="I1" s="542"/>
      <c r="J1" s="542"/>
      <c r="K1" s="542"/>
    </row>
    <row r="2" spans="1:16" ht="18" customHeight="1" x14ac:dyDescent="0.25">
      <c r="C2" s="542" t="s">
        <v>311</v>
      </c>
      <c r="D2" s="542"/>
      <c r="E2" s="542"/>
      <c r="F2" s="542"/>
      <c r="G2" s="542"/>
      <c r="H2" s="542"/>
      <c r="I2" s="542"/>
      <c r="J2" s="542"/>
      <c r="K2" s="542"/>
    </row>
    <row r="3" spans="1:16" ht="18" customHeight="1" x14ac:dyDescent="0.25">
      <c r="C3" s="550" t="s">
        <v>312</v>
      </c>
      <c r="D3" s="550"/>
      <c r="E3" s="550"/>
      <c r="F3" s="550"/>
      <c r="G3" s="550"/>
      <c r="H3" s="550"/>
      <c r="I3" s="550"/>
      <c r="J3" s="550"/>
      <c r="K3" s="550"/>
    </row>
    <row r="4" spans="1:16" ht="18" customHeight="1" x14ac:dyDescent="0.25">
      <c r="C4" s="542" t="s">
        <v>309</v>
      </c>
      <c r="D4" s="542"/>
      <c r="E4" s="542"/>
      <c r="F4" s="542"/>
      <c r="G4" s="542"/>
      <c r="H4" s="542"/>
      <c r="I4" s="542"/>
      <c r="J4" s="542"/>
      <c r="K4" s="542"/>
      <c r="P4" s="44"/>
    </row>
    <row r="5" spans="1:16" ht="18" customHeight="1" x14ac:dyDescent="0.2">
      <c r="C5" s="551" t="s">
        <v>248</v>
      </c>
      <c r="D5" s="551"/>
      <c r="E5" s="551"/>
      <c r="F5" s="551"/>
      <c r="G5" s="551"/>
      <c r="H5" s="551"/>
      <c r="I5" s="551"/>
      <c r="J5" s="551"/>
      <c r="K5" s="551"/>
      <c r="P5" s="44"/>
    </row>
    <row r="6" spans="1:16" ht="18" customHeight="1" x14ac:dyDescent="0.2">
      <c r="C6" s="528"/>
      <c r="D6" s="528"/>
      <c r="E6" s="528"/>
      <c r="F6" s="528"/>
      <c r="G6" s="528"/>
      <c r="H6" s="528"/>
      <c r="I6" s="528"/>
      <c r="J6" s="528"/>
      <c r="K6" s="528"/>
      <c r="P6" s="44"/>
    </row>
    <row r="7" spans="1:16" ht="18" customHeight="1" x14ac:dyDescent="0.25">
      <c r="C7" s="542" t="s">
        <v>305</v>
      </c>
      <c r="D7" s="542"/>
      <c r="E7" s="542"/>
      <c r="F7" s="542"/>
      <c r="G7" s="542"/>
      <c r="H7" s="542"/>
      <c r="I7" s="542"/>
      <c r="J7" s="542"/>
      <c r="K7" s="542"/>
      <c r="P7" s="44"/>
    </row>
    <row r="8" spans="1:16" ht="18" customHeight="1" thickBot="1" x14ac:dyDescent="0.25">
      <c r="A8" s="176" t="s">
        <v>203</v>
      </c>
      <c r="B8" s="175"/>
      <c r="C8" s="175"/>
      <c r="D8" s="175"/>
      <c r="E8" s="175"/>
      <c r="F8" s="175"/>
      <c r="G8" s="423"/>
      <c r="H8" s="423"/>
      <c r="I8" s="423"/>
      <c r="J8" s="423"/>
      <c r="K8" s="456"/>
      <c r="P8" s="44"/>
    </row>
    <row r="9" spans="1:16" ht="14.25" customHeight="1" thickTop="1" x14ac:dyDescent="0.2">
      <c r="F9" s="171"/>
      <c r="P9" s="44"/>
    </row>
    <row r="10" spans="1:16" ht="14.25" customHeight="1" x14ac:dyDescent="0.2">
      <c r="P10" s="44"/>
    </row>
    <row r="11" spans="1:16" ht="18" customHeight="1" x14ac:dyDescent="0.2">
      <c r="B11" s="2" t="s">
        <v>168</v>
      </c>
      <c r="C11" s="5"/>
      <c r="D11" s="5"/>
      <c r="E11" s="5"/>
      <c r="F11" s="5"/>
      <c r="G11" s="5"/>
      <c r="H11" s="5"/>
      <c r="I11" s="5"/>
      <c r="J11" s="5"/>
      <c r="K11" s="5"/>
      <c r="P11" s="44"/>
    </row>
    <row r="12" spans="1:16" ht="14.25" customHeight="1" x14ac:dyDescent="0.2">
      <c r="P12" s="44"/>
    </row>
    <row r="13" spans="1:16" ht="14.25" customHeight="1" x14ac:dyDescent="0.2">
      <c r="C13" s="246" t="s">
        <v>3</v>
      </c>
      <c r="D13" s="243"/>
      <c r="E13" s="241">
        <v>2019</v>
      </c>
      <c r="F13" s="6"/>
      <c r="H13" s="243" t="s">
        <v>4</v>
      </c>
      <c r="I13" s="514" t="s">
        <v>6</v>
      </c>
      <c r="J13" s="514" t="s">
        <v>7</v>
      </c>
      <c r="K13" s="515" t="s">
        <v>1</v>
      </c>
      <c r="P13" s="44"/>
    </row>
    <row r="14" spans="1:16" ht="14.25" customHeight="1" x14ac:dyDescent="0.2">
      <c r="C14" s="218" t="s">
        <v>5</v>
      </c>
      <c r="D14" s="198"/>
      <c r="E14" s="242">
        <v>365</v>
      </c>
      <c r="F14" s="7"/>
      <c r="H14" s="244">
        <v>22</v>
      </c>
      <c r="I14" s="245">
        <v>4</v>
      </c>
      <c r="J14" s="245">
        <v>4</v>
      </c>
      <c r="K14" s="242">
        <f>SUM(H14:J14)</f>
        <v>30</v>
      </c>
      <c r="P14" s="44"/>
    </row>
    <row r="15" spans="1:16" ht="14.25" hidden="1" customHeight="1" x14ac:dyDescent="0.2">
      <c r="E15" s="3">
        <v>366</v>
      </c>
      <c r="H15" s="3">
        <v>19</v>
      </c>
      <c r="I15" s="3">
        <v>4</v>
      </c>
      <c r="J15" s="446">
        <v>7</v>
      </c>
      <c r="K15" s="446">
        <v>30</v>
      </c>
      <c r="P15" s="44"/>
    </row>
    <row r="16" spans="1:16" ht="14.25" customHeight="1" x14ac:dyDescent="0.2">
      <c r="P16" s="44"/>
    </row>
    <row r="17" spans="2:19" ht="14.25" customHeight="1" x14ac:dyDescent="0.2">
      <c r="P17" s="44"/>
    </row>
    <row r="18" spans="2:19" ht="18" customHeight="1" x14ac:dyDescent="0.2">
      <c r="B18" s="2" t="s">
        <v>169</v>
      </c>
      <c r="C18" s="5"/>
      <c r="D18" s="5"/>
      <c r="E18" s="5"/>
      <c r="F18" s="5"/>
      <c r="G18" s="5"/>
      <c r="H18" s="5"/>
      <c r="I18" s="464"/>
      <c r="J18" s="5"/>
      <c r="K18" s="5"/>
      <c r="P18" s="44"/>
    </row>
    <row r="19" spans="2:19" ht="14.25" customHeight="1" x14ac:dyDescent="0.2">
      <c r="P19" s="44"/>
    </row>
    <row r="20" spans="2:19" ht="17.100000000000001" customHeight="1" x14ac:dyDescent="0.2">
      <c r="C20" s="543" t="s">
        <v>8</v>
      </c>
      <c r="D20" s="543"/>
      <c r="E20" s="543"/>
      <c r="F20" s="543"/>
      <c r="G20" s="544"/>
      <c r="H20" s="237"/>
      <c r="I20" s="238" t="s">
        <v>24</v>
      </c>
      <c r="J20" s="239"/>
      <c r="K20" s="239"/>
      <c r="P20" s="44"/>
    </row>
    <row r="21" spans="2:19" ht="14.25" customHeight="1" x14ac:dyDescent="0.2">
      <c r="C21" s="9" t="s">
        <v>9</v>
      </c>
      <c r="D21" s="10"/>
      <c r="E21" s="10"/>
      <c r="F21" s="10"/>
      <c r="G21" s="10"/>
      <c r="H21" s="7"/>
      <c r="I21" s="7"/>
      <c r="J21" s="7"/>
      <c r="K21" s="7"/>
      <c r="P21" s="44"/>
    </row>
    <row r="22" spans="2:19" ht="14.25" customHeight="1" x14ac:dyDescent="0.2">
      <c r="C22" s="151" t="s">
        <v>152</v>
      </c>
      <c r="D22" s="151"/>
      <c r="E22" s="150"/>
      <c r="F22" s="150"/>
      <c r="H22" s="145" t="s">
        <v>158</v>
      </c>
      <c r="I22" s="459">
        <v>0</v>
      </c>
      <c r="J22" s="146"/>
      <c r="K22" s="146"/>
      <c r="P22" s="44"/>
    </row>
    <row r="23" spans="2:19" ht="14.25" customHeight="1" x14ac:dyDescent="0.2">
      <c r="C23" s="151"/>
      <c r="D23" s="151"/>
      <c r="E23" s="150"/>
      <c r="F23" s="150"/>
      <c r="H23" s="145"/>
      <c r="I23" s="146"/>
      <c r="J23" s="146"/>
      <c r="K23" s="146"/>
      <c r="P23" s="44"/>
    </row>
    <row r="24" spans="2:19" ht="14.25" customHeight="1" x14ac:dyDescent="0.2">
      <c r="C24" s="11" t="s">
        <v>269</v>
      </c>
      <c r="D24" s="12"/>
      <c r="E24" s="12"/>
      <c r="F24" s="12"/>
      <c r="H24" s="149"/>
      <c r="I24" s="148"/>
      <c r="J24" s="148"/>
      <c r="K24" s="148"/>
      <c r="P24" s="44"/>
    </row>
    <row r="25" spans="2:19" ht="14.25" customHeight="1" x14ac:dyDescent="0.2">
      <c r="C25" s="434" t="s">
        <v>310</v>
      </c>
      <c r="D25" s="151"/>
      <c r="E25" s="151"/>
      <c r="F25" s="150"/>
      <c r="H25" s="167" t="s">
        <v>159</v>
      </c>
      <c r="I25" s="147">
        <v>0</v>
      </c>
      <c r="J25" s="460"/>
      <c r="K25" s="438"/>
      <c r="M25" s="11"/>
      <c r="N25" s="177"/>
      <c r="O25" s="177"/>
      <c r="P25" s="536"/>
      <c r="Q25" s="167"/>
      <c r="R25" s="167"/>
      <c r="S25" s="352"/>
    </row>
    <row r="26" spans="2:19" ht="14.25" customHeight="1" x14ac:dyDescent="0.2">
      <c r="C26" s="172" t="s">
        <v>170</v>
      </c>
      <c r="D26" s="172"/>
      <c r="E26" s="172"/>
      <c r="F26" s="172"/>
      <c r="G26" s="167"/>
      <c r="H26" s="167" t="s">
        <v>159</v>
      </c>
      <c r="I26" s="173">
        <v>0</v>
      </c>
      <c r="J26" s="352"/>
      <c r="K26" s="173"/>
      <c r="M26" s="177"/>
      <c r="N26" s="177"/>
      <c r="O26" s="177"/>
      <c r="P26" s="177"/>
      <c r="Q26" s="167"/>
      <c r="R26" s="167"/>
      <c r="S26" s="352"/>
    </row>
    <row r="27" spans="2:19" ht="14.25" customHeight="1" x14ac:dyDescent="0.2">
      <c r="C27" s="177" t="s">
        <v>277</v>
      </c>
      <c r="D27" s="172"/>
      <c r="E27" s="172"/>
      <c r="F27" s="172"/>
      <c r="G27" s="167"/>
      <c r="H27" s="167" t="s">
        <v>159</v>
      </c>
      <c r="I27" s="352">
        <v>0</v>
      </c>
      <c r="N27" s="352"/>
      <c r="O27" s="535"/>
      <c r="P27" s="467"/>
      <c r="Q27" s="177"/>
      <c r="R27" s="167"/>
      <c r="S27" s="352"/>
    </row>
    <row r="28" spans="2:19" ht="14.25" customHeight="1" x14ac:dyDescent="0.2">
      <c r="C28" s="172"/>
      <c r="D28" s="172"/>
      <c r="E28" s="172"/>
      <c r="F28" s="172"/>
      <c r="G28" s="167"/>
      <c r="H28" s="167"/>
      <c r="I28" s="173"/>
      <c r="N28" s="418"/>
      <c r="O28" s="535"/>
      <c r="P28" s="467"/>
      <c r="Q28" s="177"/>
      <c r="R28" s="167"/>
      <c r="S28" s="352"/>
    </row>
    <row r="29" spans="2:19" ht="14.25" customHeight="1" x14ac:dyDescent="0.2">
      <c r="C29" s="11" t="s">
        <v>278</v>
      </c>
      <c r="D29" s="172"/>
      <c r="E29" s="172"/>
      <c r="F29" s="172"/>
      <c r="G29" s="167"/>
      <c r="H29" s="167"/>
      <c r="I29" s="173"/>
      <c r="N29" s="173"/>
      <c r="O29" s="535"/>
      <c r="P29" s="467"/>
      <c r="Q29" s="11"/>
      <c r="R29" s="167"/>
      <c r="S29" s="352"/>
    </row>
    <row r="30" spans="2:19" ht="14.25" customHeight="1" x14ac:dyDescent="0.2">
      <c r="C30" s="177" t="s">
        <v>270</v>
      </c>
      <c r="D30" s="172"/>
      <c r="E30" s="172"/>
      <c r="F30" s="172"/>
      <c r="G30" s="167"/>
      <c r="H30" s="167" t="s">
        <v>212</v>
      </c>
      <c r="I30" s="352">
        <v>0</v>
      </c>
      <c r="N30" s="535"/>
      <c r="O30" s="535"/>
      <c r="P30" s="467"/>
      <c r="Q30" s="177"/>
      <c r="R30" s="167"/>
      <c r="S30" s="352"/>
    </row>
    <row r="31" spans="2:19" ht="14.25" customHeight="1" x14ac:dyDescent="0.2">
      <c r="C31" s="177" t="s">
        <v>271</v>
      </c>
      <c r="D31" s="172"/>
      <c r="E31" s="172"/>
      <c r="F31" s="172"/>
      <c r="G31" s="167"/>
      <c r="H31" s="167" t="s">
        <v>212</v>
      </c>
      <c r="I31" s="352">
        <v>0</v>
      </c>
      <c r="N31" s="535"/>
      <c r="O31" s="535"/>
      <c r="P31" s="467"/>
      <c r="Q31" s="177"/>
      <c r="R31" s="167"/>
      <c r="S31" s="352"/>
    </row>
    <row r="32" spans="2:19" ht="14.25" customHeight="1" x14ac:dyDescent="0.2">
      <c r="C32" s="177" t="s">
        <v>279</v>
      </c>
      <c r="D32" s="172"/>
      <c r="E32" s="172"/>
      <c r="F32" s="172"/>
      <c r="G32" s="167"/>
      <c r="H32" s="167" t="str">
        <f>+H31</f>
        <v>R$/Veíc. Mês</v>
      </c>
      <c r="I32" s="352">
        <v>0</v>
      </c>
      <c r="N32" s="538"/>
      <c r="O32" s="535"/>
      <c r="Q32" s="177"/>
      <c r="R32" s="167"/>
      <c r="S32" s="352"/>
    </row>
    <row r="33" spans="1:19" ht="14.25" customHeight="1" x14ac:dyDescent="0.2">
      <c r="C33" s="177" t="s">
        <v>280</v>
      </c>
      <c r="D33" s="172"/>
      <c r="E33" s="172"/>
      <c r="F33" s="172"/>
      <c r="G33" s="167"/>
      <c r="H33" s="167" t="str">
        <f>+H32</f>
        <v>R$/Veíc. Mês</v>
      </c>
      <c r="I33" s="352">
        <v>0</v>
      </c>
      <c r="N33" s="535"/>
      <c r="O33" s="535"/>
      <c r="Q33" s="177"/>
      <c r="R33" s="167"/>
      <c r="S33" s="352"/>
    </row>
    <row r="34" spans="1:19" ht="14.25" customHeight="1" x14ac:dyDescent="0.2">
      <c r="C34" s="177"/>
      <c r="D34" s="172"/>
      <c r="E34" s="172"/>
      <c r="F34" s="172"/>
      <c r="G34" s="167"/>
      <c r="H34" s="167"/>
      <c r="I34" s="352"/>
      <c r="J34" s="44"/>
      <c r="N34" s="535"/>
      <c r="O34" s="535"/>
      <c r="P34" s="467"/>
      <c r="Q34" s="177"/>
      <c r="R34" s="167"/>
      <c r="S34" s="352"/>
    </row>
    <row r="35" spans="1:19" ht="14.25" customHeight="1" x14ac:dyDescent="0.2">
      <c r="C35" s="9" t="s">
        <v>272</v>
      </c>
      <c r="D35" s="172"/>
      <c r="E35" s="172"/>
      <c r="F35" s="172"/>
      <c r="G35" s="167"/>
      <c r="H35" s="167"/>
      <c r="I35" s="352"/>
      <c r="N35" s="535"/>
      <c r="O35" s="535"/>
      <c r="P35" s="467"/>
      <c r="Q35" s="177"/>
      <c r="R35" s="167"/>
      <c r="S35" s="352"/>
    </row>
    <row r="36" spans="1:19" ht="14.25" customHeight="1" x14ac:dyDescent="0.2">
      <c r="C36" s="177" t="s">
        <v>292</v>
      </c>
      <c r="D36" s="172"/>
      <c r="E36" s="172"/>
      <c r="F36" s="172"/>
      <c r="G36" s="167"/>
      <c r="H36" s="167" t="str">
        <f>+H33</f>
        <v>R$/Veíc. Mês</v>
      </c>
      <c r="I36" s="352">
        <v>0</v>
      </c>
      <c r="N36" s="535"/>
      <c r="O36" s="535"/>
      <c r="Q36" s="177"/>
      <c r="R36" s="167"/>
      <c r="S36" s="352"/>
    </row>
    <row r="37" spans="1:19" ht="14.25" customHeight="1" x14ac:dyDescent="0.2">
      <c r="C37" s="177" t="s">
        <v>273</v>
      </c>
      <c r="D37" s="172"/>
      <c r="E37" s="172"/>
      <c r="F37" s="172"/>
      <c r="G37" s="167"/>
      <c r="H37" s="167" t="str">
        <f>+H36</f>
        <v>R$/Veíc. Mês</v>
      </c>
      <c r="I37" s="352">
        <v>0</v>
      </c>
      <c r="N37" s="173"/>
      <c r="O37" s="535"/>
    </row>
    <row r="38" spans="1:19" ht="14.25" customHeight="1" x14ac:dyDescent="0.2">
      <c r="C38" s="177"/>
      <c r="D38" s="172"/>
      <c r="E38" s="172"/>
      <c r="F38" s="172"/>
      <c r="G38" s="167"/>
      <c r="H38" s="167"/>
      <c r="I38" s="352"/>
      <c r="N38" s="173"/>
      <c r="O38" s="173"/>
    </row>
    <row r="39" spans="1:19" ht="15" customHeight="1" x14ac:dyDescent="0.2">
      <c r="C39" s="546" t="s">
        <v>8</v>
      </c>
      <c r="D39" s="546"/>
      <c r="E39" s="546"/>
      <c r="F39" s="546"/>
      <c r="G39" s="547"/>
      <c r="H39" s="545" t="s">
        <v>0</v>
      </c>
      <c r="I39" s="543"/>
      <c r="J39" s="543"/>
      <c r="K39" s="543"/>
      <c r="N39" s="44"/>
    </row>
    <row r="40" spans="1:19" ht="14.25" customHeight="1" x14ac:dyDescent="0.2">
      <c r="C40" s="548"/>
      <c r="D40" s="548"/>
      <c r="E40" s="548"/>
      <c r="F40" s="548"/>
      <c r="G40" s="549"/>
      <c r="H40" s="240" t="s">
        <v>2</v>
      </c>
      <c r="I40" s="240" t="s">
        <v>250</v>
      </c>
      <c r="J40" s="240" t="s">
        <v>249</v>
      </c>
      <c r="K40" s="240" t="s">
        <v>251</v>
      </c>
      <c r="N40" s="44"/>
    </row>
    <row r="41" spans="1:19" ht="14.25" customHeight="1" x14ac:dyDescent="0.2">
      <c r="C41" s="11" t="s">
        <v>10</v>
      </c>
      <c r="D41" s="12"/>
      <c r="E41" s="12"/>
      <c r="F41" s="12"/>
      <c r="G41" s="13"/>
      <c r="H41" s="14"/>
      <c r="I41" s="15"/>
      <c r="J41" s="14"/>
      <c r="K41" s="15"/>
      <c r="N41" s="44"/>
    </row>
    <row r="42" spans="1:19" ht="14.25" customHeight="1" x14ac:dyDescent="0.2">
      <c r="C42" s="151" t="s">
        <v>151</v>
      </c>
      <c r="D42" s="151"/>
      <c r="E42" s="150"/>
      <c r="F42" s="150"/>
      <c r="G42" s="145" t="s">
        <v>157</v>
      </c>
      <c r="H42" s="147">
        <v>0</v>
      </c>
      <c r="I42" s="147">
        <v>0</v>
      </c>
      <c r="J42" s="147">
        <v>0</v>
      </c>
      <c r="K42" s="147">
        <v>0</v>
      </c>
      <c r="N42" s="44"/>
    </row>
    <row r="43" spans="1:19" ht="14.25" customHeight="1" x14ac:dyDescent="0.2">
      <c r="C43" s="151" t="s">
        <v>150</v>
      </c>
      <c r="D43" s="151"/>
      <c r="E43" s="151"/>
      <c r="F43" s="151"/>
      <c r="G43" s="145" t="s">
        <v>157</v>
      </c>
      <c r="H43" s="147">
        <v>0</v>
      </c>
      <c r="I43" s="147">
        <v>0</v>
      </c>
      <c r="J43" s="147">
        <v>0</v>
      </c>
      <c r="K43" s="147">
        <v>0</v>
      </c>
      <c r="N43" s="44"/>
    </row>
    <row r="44" spans="1:19" ht="14.25" customHeight="1" x14ac:dyDescent="0.2">
      <c r="C44" s="151" t="s">
        <v>153</v>
      </c>
      <c r="D44" s="151"/>
      <c r="E44" s="151"/>
      <c r="F44" s="150"/>
      <c r="G44" s="145" t="s">
        <v>157</v>
      </c>
      <c r="H44" s="147">
        <v>0</v>
      </c>
      <c r="I44" s="147">
        <v>0</v>
      </c>
      <c r="J44" s="147">
        <v>0</v>
      </c>
      <c r="K44" s="147">
        <v>0</v>
      </c>
      <c r="N44" s="44"/>
    </row>
    <row r="45" spans="1:19" ht="14.25" customHeight="1" x14ac:dyDescent="0.2">
      <c r="C45" s="151" t="s">
        <v>154</v>
      </c>
      <c r="D45" s="151"/>
      <c r="E45" s="151"/>
      <c r="F45" s="150"/>
      <c r="G45" s="145" t="s">
        <v>157</v>
      </c>
      <c r="H45" s="147">
        <v>0</v>
      </c>
      <c r="I45" s="147">
        <v>0</v>
      </c>
      <c r="J45" s="147">
        <v>0</v>
      </c>
      <c r="K45" s="147">
        <v>0</v>
      </c>
      <c r="N45" s="44"/>
    </row>
    <row r="46" spans="1:19" ht="14.25" customHeight="1" x14ac:dyDescent="0.2">
      <c r="C46" s="151"/>
      <c r="D46" s="151"/>
      <c r="E46" s="151"/>
      <c r="F46" s="150"/>
      <c r="G46" s="145"/>
      <c r="H46" s="147"/>
      <c r="I46" s="147"/>
      <c r="J46" s="147"/>
      <c r="K46" s="147"/>
      <c r="N46" s="44"/>
    </row>
    <row r="47" spans="1:19" ht="14.25" customHeight="1" x14ac:dyDescent="0.2">
      <c r="C47" s="9" t="s">
        <v>11</v>
      </c>
      <c r="D47" s="10"/>
      <c r="E47" s="10"/>
      <c r="F47" s="10"/>
      <c r="G47" s="16"/>
      <c r="H47" s="17"/>
      <c r="I47" s="17"/>
      <c r="J47" s="17"/>
      <c r="K47" s="17"/>
      <c r="N47" s="44"/>
    </row>
    <row r="48" spans="1:19" ht="14.25" customHeight="1" x14ac:dyDescent="0.2">
      <c r="A48" s="141"/>
      <c r="B48" s="141"/>
      <c r="C48" s="151" t="s">
        <v>155</v>
      </c>
      <c r="D48" s="151"/>
      <c r="E48" s="151"/>
      <c r="F48" s="150"/>
      <c r="G48" s="145" t="s">
        <v>157</v>
      </c>
      <c r="H48" s="351">
        <v>0</v>
      </c>
      <c r="I48" s="351">
        <v>0</v>
      </c>
      <c r="J48" s="351">
        <v>0</v>
      </c>
      <c r="K48" s="351">
        <v>0</v>
      </c>
      <c r="N48" s="44"/>
    </row>
    <row r="49" spans="2:14" ht="14.25" customHeight="1" x14ac:dyDescent="0.2">
      <c r="C49" s="172" t="s">
        <v>156</v>
      </c>
      <c r="D49" s="172"/>
      <c r="E49" s="172"/>
      <c r="F49" s="172"/>
      <c r="G49" s="174" t="s">
        <v>157</v>
      </c>
      <c r="H49" s="352">
        <f>+H48-((+H42*4))</f>
        <v>0</v>
      </c>
      <c r="I49" s="352">
        <f>+I48-((I42*6)+(I44*6)+(I45*6))</f>
        <v>0</v>
      </c>
      <c r="J49" s="352">
        <v>0</v>
      </c>
      <c r="K49" s="352">
        <f>+K48-((K42*6)+(K44*6)+(K45*6))</f>
        <v>0</v>
      </c>
      <c r="N49" s="44"/>
    </row>
    <row r="50" spans="2:14" ht="14.25" customHeight="1" x14ac:dyDescent="0.2">
      <c r="N50" s="44"/>
    </row>
    <row r="51" spans="2:14" ht="14.25" customHeight="1" x14ac:dyDescent="0.2">
      <c r="H51" s="74"/>
      <c r="I51" s="467"/>
      <c r="N51" s="44"/>
    </row>
    <row r="52" spans="2:14" ht="18" customHeight="1" x14ac:dyDescent="0.2">
      <c r="B52" s="2" t="s">
        <v>182</v>
      </c>
      <c r="C52" s="5"/>
      <c r="D52" s="5"/>
      <c r="E52" s="5"/>
      <c r="F52" s="5"/>
      <c r="G52" s="19"/>
      <c r="H52" s="388"/>
      <c r="I52" s="5"/>
      <c r="J52" s="5"/>
      <c r="K52" s="5"/>
      <c r="N52" s="537"/>
    </row>
    <row r="53" spans="2:14" ht="13.35" customHeight="1" x14ac:dyDescent="0.2">
      <c r="G53" s="18"/>
      <c r="N53" s="44"/>
    </row>
    <row r="54" spans="2:14" ht="15" customHeight="1" x14ac:dyDescent="0.2">
      <c r="C54" s="546" t="s">
        <v>8</v>
      </c>
      <c r="D54" s="546"/>
      <c r="E54" s="546"/>
      <c r="F54" s="546"/>
      <c r="G54" s="547"/>
      <c r="H54" s="545" t="s">
        <v>0</v>
      </c>
      <c r="I54" s="543"/>
      <c r="J54" s="543"/>
      <c r="K54" s="543"/>
      <c r="N54" s="44"/>
    </row>
    <row r="55" spans="2:14" ht="13.35" customHeight="1" x14ac:dyDescent="0.2">
      <c r="C55" s="548"/>
      <c r="D55" s="548"/>
      <c r="E55" s="548"/>
      <c r="F55" s="548"/>
      <c r="G55" s="549"/>
      <c r="H55" s="240" t="s">
        <v>2</v>
      </c>
      <c r="I55" s="240" t="s">
        <v>250</v>
      </c>
      <c r="J55" s="240" t="s">
        <v>249</v>
      </c>
      <c r="K55" s="240" t="s">
        <v>251</v>
      </c>
      <c r="N55" s="44"/>
    </row>
    <row r="56" spans="2:14" ht="13.35" customHeight="1" x14ac:dyDescent="0.2">
      <c r="C56" s="9" t="s">
        <v>9</v>
      </c>
      <c r="D56" s="10"/>
      <c r="E56" s="10"/>
      <c r="F56" s="10"/>
      <c r="G56" s="21"/>
      <c r="H56" s="20"/>
      <c r="I56" s="20"/>
      <c r="J56" s="20"/>
      <c r="K56" s="20"/>
      <c r="N56" s="44"/>
    </row>
    <row r="57" spans="2:14" ht="13.35" customHeight="1" x14ac:dyDescent="0.2">
      <c r="C57" s="151" t="s">
        <v>180</v>
      </c>
      <c r="D57" s="151"/>
      <c r="E57" s="151"/>
      <c r="F57" s="151"/>
      <c r="G57" s="145" t="s">
        <v>12</v>
      </c>
      <c r="H57" s="152">
        <v>0</v>
      </c>
      <c r="I57" s="458">
        <v>0</v>
      </c>
      <c r="J57" s="152">
        <v>0</v>
      </c>
      <c r="K57" s="458">
        <v>0</v>
      </c>
      <c r="M57" s="467"/>
    </row>
    <row r="58" spans="2:14" ht="13.35" customHeight="1" x14ac:dyDescent="0.2">
      <c r="C58" s="151"/>
      <c r="D58" s="151"/>
      <c r="E58" s="151"/>
      <c r="F58" s="151"/>
      <c r="G58" s="145"/>
      <c r="H58" s="152"/>
      <c r="I58" s="152"/>
      <c r="J58" s="152"/>
      <c r="K58" s="152"/>
    </row>
    <row r="59" spans="2:14" ht="13.35" customHeight="1" x14ac:dyDescent="0.2">
      <c r="C59" s="9" t="s">
        <v>231</v>
      </c>
      <c r="D59" s="151"/>
      <c r="E59" s="151"/>
      <c r="F59" s="151"/>
      <c r="G59" s="145"/>
      <c r="H59" s="152"/>
      <c r="I59" s="152"/>
      <c r="J59" s="152"/>
      <c r="K59" s="152"/>
    </row>
    <row r="60" spans="2:14" ht="13.35" customHeight="1" x14ac:dyDescent="0.2">
      <c r="C60" s="151" t="s">
        <v>171</v>
      </c>
      <c r="D60" s="151"/>
      <c r="E60" s="151"/>
      <c r="F60" s="151"/>
      <c r="G60" s="475" t="s">
        <v>232</v>
      </c>
      <c r="H60" s="152">
        <v>0</v>
      </c>
      <c r="I60" s="152">
        <v>0</v>
      </c>
      <c r="J60" s="152">
        <v>0</v>
      </c>
      <c r="K60" s="152">
        <v>0</v>
      </c>
    </row>
    <row r="61" spans="2:14" ht="13.35" customHeight="1" x14ac:dyDescent="0.2">
      <c r="C61" s="151"/>
      <c r="D61" s="151"/>
      <c r="E61" s="151"/>
      <c r="F61" s="151"/>
      <c r="G61" s="145"/>
      <c r="H61" s="152"/>
      <c r="I61" s="152"/>
      <c r="J61" s="152"/>
      <c r="K61" s="152"/>
    </row>
    <row r="62" spans="2:14" ht="13.35" customHeight="1" x14ac:dyDescent="0.2">
      <c r="C62" s="9" t="s">
        <v>240</v>
      </c>
      <c r="D62" s="151"/>
      <c r="E62" s="151"/>
      <c r="F62" s="151"/>
      <c r="G62" s="145"/>
      <c r="H62" s="152"/>
      <c r="I62" s="152"/>
      <c r="J62" s="152"/>
      <c r="K62" s="152"/>
    </row>
    <row r="63" spans="2:14" ht="13.35" customHeight="1" x14ac:dyDescent="0.2">
      <c r="C63" s="434" t="s">
        <v>241</v>
      </c>
      <c r="D63" s="151"/>
      <c r="E63" s="151"/>
      <c r="F63" s="151"/>
      <c r="G63" s="475" t="s">
        <v>113</v>
      </c>
      <c r="H63" s="152">
        <v>0</v>
      </c>
      <c r="I63" s="152">
        <v>0</v>
      </c>
      <c r="J63" s="152">
        <v>0</v>
      </c>
      <c r="K63" s="152">
        <v>0</v>
      </c>
    </row>
    <row r="64" spans="2:14" ht="13.35" customHeight="1" x14ac:dyDescent="0.2">
      <c r="C64" s="151"/>
      <c r="D64" s="151"/>
      <c r="E64" s="151"/>
      <c r="F64" s="151"/>
      <c r="G64" s="145"/>
      <c r="H64" s="152"/>
      <c r="I64" s="152"/>
      <c r="J64" s="152"/>
      <c r="K64" s="152"/>
    </row>
    <row r="65" spans="3:11" ht="13.35" customHeight="1" x14ac:dyDescent="0.2">
      <c r="C65" s="153" t="s">
        <v>10</v>
      </c>
      <c r="D65" s="153"/>
      <c r="E65" s="150"/>
      <c r="F65" s="150"/>
      <c r="G65" s="145"/>
      <c r="H65" s="152"/>
      <c r="I65" s="152"/>
      <c r="J65" s="463"/>
      <c r="K65" s="152"/>
    </row>
    <row r="66" spans="3:11" ht="13.35" customHeight="1" x14ac:dyDescent="0.2">
      <c r="C66" s="151" t="s">
        <v>164</v>
      </c>
      <c r="D66" s="156"/>
      <c r="E66" s="156"/>
      <c r="F66" s="150"/>
      <c r="G66" s="174" t="s">
        <v>163</v>
      </c>
      <c r="H66" s="154">
        <v>0</v>
      </c>
      <c r="I66" s="154">
        <v>0</v>
      </c>
      <c r="J66" s="154">
        <v>0</v>
      </c>
      <c r="K66" s="154">
        <v>0</v>
      </c>
    </row>
    <row r="67" spans="3:11" ht="13.35" customHeight="1" x14ac:dyDescent="0.2">
      <c r="C67" s="156" t="s">
        <v>165</v>
      </c>
      <c r="D67" s="151"/>
      <c r="E67" s="151"/>
      <c r="F67" s="150"/>
      <c r="G67" s="174" t="s">
        <v>163</v>
      </c>
      <c r="H67" s="155">
        <v>0</v>
      </c>
      <c r="I67" s="155">
        <v>0</v>
      </c>
      <c r="J67" s="155">
        <v>0</v>
      </c>
      <c r="K67" s="155">
        <v>0</v>
      </c>
    </row>
    <row r="68" spans="3:11" ht="13.35" customHeight="1" x14ac:dyDescent="0.2">
      <c r="C68" s="156" t="s">
        <v>166</v>
      </c>
      <c r="D68" s="156"/>
      <c r="E68" s="156"/>
      <c r="F68" s="156"/>
      <c r="G68" s="174" t="s">
        <v>163</v>
      </c>
      <c r="H68" s="155">
        <v>0</v>
      </c>
      <c r="I68" s="155">
        <v>0</v>
      </c>
      <c r="J68" s="155">
        <v>0</v>
      </c>
      <c r="K68" s="155">
        <v>0</v>
      </c>
    </row>
    <row r="69" spans="3:11" ht="13.35" customHeight="1" x14ac:dyDescent="0.2">
      <c r="C69" s="156" t="s">
        <v>167</v>
      </c>
      <c r="D69" s="156"/>
      <c r="E69" s="156"/>
      <c r="F69" s="150"/>
      <c r="G69" s="174" t="s">
        <v>163</v>
      </c>
      <c r="H69" s="155">
        <v>0</v>
      </c>
      <c r="I69" s="155">
        <v>0</v>
      </c>
      <c r="J69" s="155">
        <v>0</v>
      </c>
      <c r="K69" s="155">
        <v>0</v>
      </c>
    </row>
    <row r="70" spans="3:11" ht="13.35" customHeight="1" x14ac:dyDescent="0.2">
      <c r="C70" s="151" t="s">
        <v>15</v>
      </c>
      <c r="D70" s="151"/>
      <c r="E70" s="151"/>
      <c r="F70" s="150"/>
      <c r="G70" s="174" t="s">
        <v>163</v>
      </c>
      <c r="H70" s="154">
        <v>0</v>
      </c>
      <c r="I70" s="154">
        <v>0</v>
      </c>
      <c r="J70" s="154">
        <v>0</v>
      </c>
      <c r="K70" s="154">
        <v>0</v>
      </c>
    </row>
    <row r="71" spans="3:11" ht="14.25" customHeight="1" x14ac:dyDescent="0.2">
      <c r="C71" s="378" t="s">
        <v>16</v>
      </c>
      <c r="D71" s="378"/>
      <c r="E71" s="378"/>
      <c r="F71" s="378"/>
      <c r="G71" s="379" t="s">
        <v>17</v>
      </c>
      <c r="H71" s="383">
        <v>0</v>
      </c>
      <c r="I71" s="383">
        <v>0</v>
      </c>
      <c r="J71" s="383">
        <v>0</v>
      </c>
      <c r="K71" s="383">
        <v>0</v>
      </c>
    </row>
    <row r="72" spans="3:11" ht="14.25" customHeight="1" x14ac:dyDescent="0.2">
      <c r="C72" s="157"/>
      <c r="D72" s="157"/>
      <c r="E72" s="157"/>
      <c r="F72" s="157"/>
      <c r="G72" s="169"/>
      <c r="H72" s="170"/>
      <c r="I72" s="170"/>
      <c r="J72" s="170"/>
      <c r="K72" s="170"/>
    </row>
    <row r="73" spans="3:11" ht="14.25" customHeight="1" x14ac:dyDescent="0.2">
      <c r="C73" s="153" t="s">
        <v>18</v>
      </c>
      <c r="D73" s="153"/>
      <c r="E73" s="150"/>
      <c r="F73" s="150"/>
      <c r="G73" s="145"/>
      <c r="H73" s="152"/>
      <c r="I73" s="152"/>
      <c r="J73" s="152"/>
      <c r="K73" s="152"/>
    </row>
    <row r="74" spans="3:11" ht="15.75" customHeight="1" x14ac:dyDescent="0.2">
      <c r="C74" s="151" t="s">
        <v>19</v>
      </c>
      <c r="D74" s="151"/>
      <c r="E74" s="151"/>
      <c r="F74" s="150"/>
      <c r="G74" s="145" t="s">
        <v>177</v>
      </c>
      <c r="H74" s="353">
        <v>0</v>
      </c>
      <c r="I74" s="353">
        <v>0</v>
      </c>
      <c r="J74" s="353">
        <v>0</v>
      </c>
      <c r="K74" s="353">
        <v>0</v>
      </c>
    </row>
    <row r="75" spans="3:11" ht="13.35" hidden="1" customHeight="1" outlineLevel="1" x14ac:dyDescent="0.2">
      <c r="C75" s="28"/>
      <c r="D75" s="552" t="str">
        <f>H55</f>
        <v>Micro</v>
      </c>
      <c r="E75" s="552"/>
      <c r="F75" s="552" t="str">
        <f>I55</f>
        <v>Mini</v>
      </c>
      <c r="G75" s="552"/>
      <c r="H75" s="552" t="str">
        <f>J55</f>
        <v>Midi</v>
      </c>
      <c r="I75" s="552"/>
      <c r="J75" s="552" t="str">
        <f>+K40</f>
        <v>Básico</v>
      </c>
      <c r="K75" s="552"/>
    </row>
    <row r="76" spans="3:11" ht="13.35" hidden="1" customHeight="1" outlineLevel="1" x14ac:dyDescent="0.2">
      <c r="C76" s="28"/>
      <c r="D76" s="29" t="s">
        <v>20</v>
      </c>
      <c r="E76" s="30" t="s">
        <v>21</v>
      </c>
      <c r="F76" s="30" t="s">
        <v>20</v>
      </c>
      <c r="G76" s="30" t="s">
        <v>21</v>
      </c>
      <c r="H76" s="30" t="s">
        <v>20</v>
      </c>
      <c r="I76" s="30" t="s">
        <v>21</v>
      </c>
      <c r="J76" s="30" t="s">
        <v>20</v>
      </c>
      <c r="K76" s="465" t="s">
        <v>21</v>
      </c>
    </row>
    <row r="77" spans="3:11" ht="13.35" hidden="1" customHeight="1" outlineLevel="1" x14ac:dyDescent="0.2">
      <c r="C77" s="28"/>
      <c r="D77" s="31">
        <f>IF(H74=0,0,IF(H74&lt;0,0,H74-1))</f>
        <v>0</v>
      </c>
      <c r="E77" s="32">
        <f>IF(H74&lt;0,0,H74+D77)</f>
        <v>0</v>
      </c>
      <c r="F77" s="32">
        <f>IF(I74=0,0,IF(I74&lt;0,0,I74-1))</f>
        <v>0</v>
      </c>
      <c r="G77" s="32">
        <f>IF(I74&lt;0,0,I74+F77)</f>
        <v>0</v>
      </c>
      <c r="H77" s="32">
        <f>IF(J74=0,0,IF(J74&lt;0,0,J74-1))</f>
        <v>0</v>
      </c>
      <c r="I77" s="32">
        <f>IF(J74&lt;0,0,J74+H77)</f>
        <v>0</v>
      </c>
      <c r="J77" s="32">
        <f>IF(K74=0,0,IF(K74&lt;0,0,K74-1))</f>
        <v>0</v>
      </c>
      <c r="K77" s="466">
        <f>IF(K74&lt;0,0,K74+J77)</f>
        <v>0</v>
      </c>
    </row>
    <row r="78" spans="3:11" ht="13.35" hidden="1" customHeight="1" outlineLevel="1" x14ac:dyDescent="0.2">
      <c r="C78" s="28"/>
      <c r="D78" s="31">
        <f t="shared" ref="D78:D90" si="0">IF(D77&lt;=0,0,D77-1)</f>
        <v>0</v>
      </c>
      <c r="E78" s="32">
        <f t="shared" ref="E78:E90" si="1">IF(E77&gt;=$D$91,0,E77+D78)</f>
        <v>0</v>
      </c>
      <c r="F78" s="32">
        <f t="shared" ref="F78:F90" si="2">IF(F77&lt;=0,0,F77-1)</f>
        <v>0</v>
      </c>
      <c r="G78" s="32">
        <f t="shared" ref="G78:G90" si="3">IF(G77&gt;=$F$91,0,G77+F78)</f>
        <v>0</v>
      </c>
      <c r="H78" s="32">
        <f t="shared" ref="H78:H90" si="4">IF(H77&lt;=0,0,H77-1)</f>
        <v>0</v>
      </c>
      <c r="I78" s="32">
        <f t="shared" ref="I78:I90" si="5">IF(I77&gt;=$H$91,0,I77+H78)</f>
        <v>0</v>
      </c>
      <c r="J78" s="32">
        <f t="shared" ref="J78:J90" si="6">IF(J77&lt;=0,0,J77-1)</f>
        <v>0</v>
      </c>
      <c r="K78" s="466">
        <f>IF(K77&gt;=$J$91,0,K77+J78)</f>
        <v>0</v>
      </c>
    </row>
    <row r="79" spans="3:11" ht="13.35" hidden="1" customHeight="1" outlineLevel="1" x14ac:dyDescent="0.2">
      <c r="C79" s="28"/>
      <c r="D79" s="31">
        <f t="shared" si="0"/>
        <v>0</v>
      </c>
      <c r="E79" s="32">
        <f t="shared" si="1"/>
        <v>0</v>
      </c>
      <c r="F79" s="32">
        <f t="shared" si="2"/>
        <v>0</v>
      </c>
      <c r="G79" s="32">
        <f t="shared" si="3"/>
        <v>0</v>
      </c>
      <c r="H79" s="32">
        <f t="shared" si="4"/>
        <v>0</v>
      </c>
      <c r="I79" s="32">
        <f t="shared" si="5"/>
        <v>0</v>
      </c>
      <c r="J79" s="32">
        <f t="shared" si="6"/>
        <v>0</v>
      </c>
      <c r="K79" s="466">
        <f t="shared" ref="K79:K90" si="7">IF(K78&gt;=$J$91,0,K78+J79)</f>
        <v>0</v>
      </c>
    </row>
    <row r="80" spans="3:11" ht="13.35" hidden="1" customHeight="1" outlineLevel="1" x14ac:dyDescent="0.2">
      <c r="C80" s="28"/>
      <c r="D80" s="31">
        <f t="shared" si="0"/>
        <v>0</v>
      </c>
      <c r="E80" s="32">
        <f t="shared" si="1"/>
        <v>0</v>
      </c>
      <c r="F80" s="32">
        <f t="shared" si="2"/>
        <v>0</v>
      </c>
      <c r="G80" s="32">
        <f t="shared" si="3"/>
        <v>0</v>
      </c>
      <c r="H80" s="32">
        <f t="shared" si="4"/>
        <v>0</v>
      </c>
      <c r="I80" s="32">
        <f t="shared" si="5"/>
        <v>0</v>
      </c>
      <c r="J80" s="32">
        <f t="shared" si="6"/>
        <v>0</v>
      </c>
      <c r="K80" s="466">
        <f t="shared" si="7"/>
        <v>0</v>
      </c>
    </row>
    <row r="81" spans="3:11" ht="13.35" hidden="1" customHeight="1" outlineLevel="1" x14ac:dyDescent="0.2">
      <c r="C81" s="28"/>
      <c r="D81" s="31">
        <f t="shared" si="0"/>
        <v>0</v>
      </c>
      <c r="E81" s="32">
        <f t="shared" si="1"/>
        <v>0</v>
      </c>
      <c r="F81" s="32">
        <f t="shared" si="2"/>
        <v>0</v>
      </c>
      <c r="G81" s="32">
        <f t="shared" si="3"/>
        <v>0</v>
      </c>
      <c r="H81" s="32">
        <f t="shared" si="4"/>
        <v>0</v>
      </c>
      <c r="I81" s="32">
        <f t="shared" si="5"/>
        <v>0</v>
      </c>
      <c r="J81" s="32">
        <f t="shared" si="6"/>
        <v>0</v>
      </c>
      <c r="K81" s="466">
        <f t="shared" si="7"/>
        <v>0</v>
      </c>
    </row>
    <row r="82" spans="3:11" ht="13.35" hidden="1" customHeight="1" outlineLevel="1" x14ac:dyDescent="0.2">
      <c r="C82" s="28"/>
      <c r="D82" s="31">
        <f t="shared" si="0"/>
        <v>0</v>
      </c>
      <c r="E82" s="32">
        <f t="shared" si="1"/>
        <v>0</v>
      </c>
      <c r="F82" s="32">
        <f t="shared" si="2"/>
        <v>0</v>
      </c>
      <c r="G82" s="32">
        <f t="shared" si="3"/>
        <v>0</v>
      </c>
      <c r="H82" s="32">
        <f t="shared" si="4"/>
        <v>0</v>
      </c>
      <c r="I82" s="32">
        <f t="shared" si="5"/>
        <v>0</v>
      </c>
      <c r="J82" s="32">
        <f t="shared" si="6"/>
        <v>0</v>
      </c>
      <c r="K82" s="466">
        <f t="shared" si="7"/>
        <v>0</v>
      </c>
    </row>
    <row r="83" spans="3:11" ht="13.35" hidden="1" customHeight="1" outlineLevel="1" x14ac:dyDescent="0.2">
      <c r="C83" s="28"/>
      <c r="D83" s="31">
        <f t="shared" si="0"/>
        <v>0</v>
      </c>
      <c r="E83" s="32">
        <f t="shared" si="1"/>
        <v>0</v>
      </c>
      <c r="F83" s="32">
        <f t="shared" si="2"/>
        <v>0</v>
      </c>
      <c r="G83" s="32">
        <f t="shared" si="3"/>
        <v>0</v>
      </c>
      <c r="H83" s="32">
        <f t="shared" si="4"/>
        <v>0</v>
      </c>
      <c r="I83" s="32">
        <f t="shared" si="5"/>
        <v>0</v>
      </c>
      <c r="J83" s="32">
        <f t="shared" si="6"/>
        <v>0</v>
      </c>
      <c r="K83" s="466">
        <f t="shared" si="7"/>
        <v>0</v>
      </c>
    </row>
    <row r="84" spans="3:11" ht="13.35" hidden="1" customHeight="1" outlineLevel="1" x14ac:dyDescent="0.2">
      <c r="C84" s="28"/>
      <c r="D84" s="31">
        <f t="shared" si="0"/>
        <v>0</v>
      </c>
      <c r="E84" s="32">
        <f t="shared" si="1"/>
        <v>0</v>
      </c>
      <c r="F84" s="32">
        <f t="shared" si="2"/>
        <v>0</v>
      </c>
      <c r="G84" s="32">
        <f t="shared" si="3"/>
        <v>0</v>
      </c>
      <c r="H84" s="32">
        <f t="shared" si="4"/>
        <v>0</v>
      </c>
      <c r="I84" s="32">
        <f t="shared" si="5"/>
        <v>0</v>
      </c>
      <c r="J84" s="32">
        <f t="shared" si="6"/>
        <v>0</v>
      </c>
      <c r="K84" s="466">
        <f t="shared" si="7"/>
        <v>0</v>
      </c>
    </row>
    <row r="85" spans="3:11" ht="13.35" hidden="1" customHeight="1" outlineLevel="1" x14ac:dyDescent="0.2">
      <c r="C85" s="28"/>
      <c r="D85" s="31">
        <f t="shared" si="0"/>
        <v>0</v>
      </c>
      <c r="E85" s="32">
        <f t="shared" si="1"/>
        <v>0</v>
      </c>
      <c r="F85" s="32">
        <f t="shared" si="2"/>
        <v>0</v>
      </c>
      <c r="G85" s="32">
        <f t="shared" si="3"/>
        <v>0</v>
      </c>
      <c r="H85" s="32">
        <f t="shared" si="4"/>
        <v>0</v>
      </c>
      <c r="I85" s="32">
        <f t="shared" si="5"/>
        <v>0</v>
      </c>
      <c r="J85" s="32">
        <f t="shared" si="6"/>
        <v>0</v>
      </c>
      <c r="K85" s="466">
        <f t="shared" si="7"/>
        <v>0</v>
      </c>
    </row>
    <row r="86" spans="3:11" ht="13.35" hidden="1" customHeight="1" outlineLevel="1" x14ac:dyDescent="0.2">
      <c r="C86" s="28"/>
      <c r="D86" s="31">
        <f t="shared" si="0"/>
        <v>0</v>
      </c>
      <c r="E86" s="32">
        <f t="shared" si="1"/>
        <v>0</v>
      </c>
      <c r="F86" s="32">
        <f t="shared" si="2"/>
        <v>0</v>
      </c>
      <c r="G86" s="32">
        <f t="shared" si="3"/>
        <v>0</v>
      </c>
      <c r="H86" s="32">
        <f t="shared" si="4"/>
        <v>0</v>
      </c>
      <c r="I86" s="32">
        <f t="shared" si="5"/>
        <v>0</v>
      </c>
      <c r="J86" s="32">
        <f t="shared" si="6"/>
        <v>0</v>
      </c>
      <c r="K86" s="466">
        <f t="shared" si="7"/>
        <v>0</v>
      </c>
    </row>
    <row r="87" spans="3:11" ht="13.35" hidden="1" customHeight="1" outlineLevel="1" x14ac:dyDescent="0.2">
      <c r="C87" s="28"/>
      <c r="D87" s="31">
        <f t="shared" si="0"/>
        <v>0</v>
      </c>
      <c r="E87" s="32">
        <f t="shared" si="1"/>
        <v>0</v>
      </c>
      <c r="F87" s="32">
        <f t="shared" si="2"/>
        <v>0</v>
      </c>
      <c r="G87" s="32">
        <f t="shared" si="3"/>
        <v>0</v>
      </c>
      <c r="H87" s="32">
        <f t="shared" si="4"/>
        <v>0</v>
      </c>
      <c r="I87" s="32">
        <f t="shared" si="5"/>
        <v>0</v>
      </c>
      <c r="J87" s="32">
        <f t="shared" si="6"/>
        <v>0</v>
      </c>
      <c r="K87" s="466">
        <f t="shared" si="7"/>
        <v>0</v>
      </c>
    </row>
    <row r="88" spans="3:11" ht="13.35" hidden="1" customHeight="1" outlineLevel="1" x14ac:dyDescent="0.2">
      <c r="C88" s="28"/>
      <c r="D88" s="31">
        <f t="shared" si="0"/>
        <v>0</v>
      </c>
      <c r="E88" s="32">
        <f t="shared" si="1"/>
        <v>0</v>
      </c>
      <c r="F88" s="32">
        <f t="shared" si="2"/>
        <v>0</v>
      </c>
      <c r="G88" s="32">
        <f t="shared" si="3"/>
        <v>0</v>
      </c>
      <c r="H88" s="32">
        <f t="shared" si="4"/>
        <v>0</v>
      </c>
      <c r="I88" s="32">
        <f t="shared" si="5"/>
        <v>0</v>
      </c>
      <c r="J88" s="32">
        <f t="shared" si="6"/>
        <v>0</v>
      </c>
      <c r="K88" s="466">
        <f t="shared" si="7"/>
        <v>0</v>
      </c>
    </row>
    <row r="89" spans="3:11" ht="13.35" hidden="1" customHeight="1" outlineLevel="1" x14ac:dyDescent="0.2">
      <c r="C89" s="28"/>
      <c r="D89" s="31">
        <f t="shared" si="0"/>
        <v>0</v>
      </c>
      <c r="E89" s="32">
        <f t="shared" si="1"/>
        <v>0</v>
      </c>
      <c r="F89" s="32">
        <f t="shared" si="2"/>
        <v>0</v>
      </c>
      <c r="G89" s="32">
        <f t="shared" si="3"/>
        <v>0</v>
      </c>
      <c r="H89" s="32">
        <f t="shared" si="4"/>
        <v>0</v>
      </c>
      <c r="I89" s="32">
        <f t="shared" si="5"/>
        <v>0</v>
      </c>
      <c r="J89" s="32">
        <f t="shared" si="6"/>
        <v>0</v>
      </c>
      <c r="K89" s="466">
        <f t="shared" si="7"/>
        <v>0</v>
      </c>
    </row>
    <row r="90" spans="3:11" ht="13.35" hidden="1" customHeight="1" outlineLevel="1" x14ac:dyDescent="0.2">
      <c r="C90" s="28"/>
      <c r="D90" s="31">
        <f t="shared" si="0"/>
        <v>0</v>
      </c>
      <c r="E90" s="32">
        <f t="shared" si="1"/>
        <v>0</v>
      </c>
      <c r="F90" s="32">
        <f t="shared" si="2"/>
        <v>0</v>
      </c>
      <c r="G90" s="32">
        <f t="shared" si="3"/>
        <v>0</v>
      </c>
      <c r="H90" s="32">
        <f t="shared" si="4"/>
        <v>0</v>
      </c>
      <c r="I90" s="32">
        <f t="shared" si="5"/>
        <v>0</v>
      </c>
      <c r="J90" s="32">
        <f t="shared" si="6"/>
        <v>0</v>
      </c>
      <c r="K90" s="466">
        <f t="shared" si="7"/>
        <v>0</v>
      </c>
    </row>
    <row r="91" spans="3:11" ht="13.35" hidden="1" customHeight="1" outlineLevel="1" x14ac:dyDescent="0.2">
      <c r="C91" s="28"/>
      <c r="D91" s="29">
        <f>SUM(H74,D77:D90)</f>
        <v>0</v>
      </c>
      <c r="E91" s="30"/>
      <c r="F91" s="30">
        <f>SUM(I74,F77:F90)</f>
        <v>0</v>
      </c>
      <c r="G91" s="30"/>
      <c r="H91" s="30">
        <f>SUM(J74,H77:H90)</f>
        <v>0</v>
      </c>
      <c r="I91" s="30"/>
      <c r="J91" s="30">
        <f>SUM(K74,J77:J90)</f>
        <v>0</v>
      </c>
      <c r="K91" s="465"/>
    </row>
    <row r="92" spans="3:11" ht="13.35" customHeight="1" collapsed="1" x14ac:dyDescent="0.2">
      <c r="C92" s="28"/>
      <c r="D92" s="33"/>
      <c r="E92" s="33"/>
      <c r="F92" s="33"/>
      <c r="G92" s="33"/>
      <c r="H92" s="33"/>
      <c r="I92" s="33"/>
      <c r="J92" s="33"/>
      <c r="K92" s="33"/>
    </row>
    <row r="93" spans="3:11" ht="13.35" customHeight="1" x14ac:dyDescent="0.2">
      <c r="C93" s="22" t="s">
        <v>22</v>
      </c>
      <c r="D93" s="22"/>
      <c r="E93" s="23"/>
      <c r="F93" s="23"/>
      <c r="G93" s="24"/>
      <c r="H93" s="25"/>
      <c r="I93" s="25"/>
      <c r="J93" s="25"/>
      <c r="K93" s="25"/>
    </row>
    <row r="94" spans="3:11" ht="13.35" customHeight="1" x14ac:dyDescent="0.2">
      <c r="C94" s="172" t="s">
        <v>23</v>
      </c>
      <c r="D94" s="172"/>
      <c r="E94" s="172"/>
      <c r="F94" s="308"/>
      <c r="G94" s="174" t="s">
        <v>113</v>
      </c>
      <c r="H94" s="309">
        <v>0</v>
      </c>
      <c r="I94" s="309">
        <v>0</v>
      </c>
      <c r="J94" s="309">
        <v>0</v>
      </c>
      <c r="K94" s="309">
        <v>0</v>
      </c>
    </row>
    <row r="95" spans="3:11" ht="13.35" customHeight="1" x14ac:dyDescent="0.2">
      <c r="C95" s="28"/>
      <c r="D95" s="7"/>
      <c r="E95" s="7"/>
      <c r="F95" s="7"/>
      <c r="G95" s="26"/>
      <c r="H95" s="34"/>
      <c r="I95" s="34"/>
      <c r="J95" s="34"/>
      <c r="K95" s="34"/>
    </row>
    <row r="96" spans="3:11" ht="13.35" customHeight="1" x14ac:dyDescent="0.2">
      <c r="C96" s="28"/>
      <c r="D96" s="7"/>
      <c r="E96" s="7"/>
      <c r="F96" s="7"/>
      <c r="G96" s="26"/>
      <c r="H96" s="34"/>
      <c r="I96" s="34"/>
      <c r="J96" s="34"/>
      <c r="K96" s="34"/>
    </row>
    <row r="97" spans="3:21" ht="13.35" customHeight="1" x14ac:dyDescent="0.2">
      <c r="C97" s="28"/>
      <c r="D97" s="7"/>
      <c r="E97" s="7"/>
      <c r="F97" s="7"/>
      <c r="G97" s="26"/>
      <c r="H97" s="34"/>
      <c r="I97" s="34"/>
      <c r="J97" s="34"/>
      <c r="K97" s="34"/>
    </row>
    <row r="98" spans="3:21" ht="13.35" customHeight="1" x14ac:dyDescent="0.2">
      <c r="C98" s="28"/>
      <c r="D98" s="7"/>
      <c r="E98" s="7"/>
      <c r="F98" s="7"/>
      <c r="G98" s="26"/>
      <c r="H98" s="34"/>
      <c r="I98" s="34"/>
      <c r="J98" s="34"/>
      <c r="K98" s="34"/>
    </row>
    <row r="99" spans="3:21" ht="15" customHeight="1" x14ac:dyDescent="0.2">
      <c r="C99" s="543" t="s">
        <v>8</v>
      </c>
      <c r="D99" s="543"/>
      <c r="E99" s="543"/>
      <c r="F99" s="543"/>
      <c r="G99" s="543"/>
      <c r="H99" s="543"/>
      <c r="I99" s="544"/>
      <c r="J99" s="238" t="s">
        <v>24</v>
      </c>
      <c r="K99" s="239"/>
    </row>
    <row r="100" spans="3:21" ht="15" customHeight="1" x14ac:dyDescent="0.2">
      <c r="C100" s="22" t="s">
        <v>13</v>
      </c>
      <c r="D100" s="22"/>
      <c r="E100" s="23"/>
      <c r="F100" s="23"/>
      <c r="G100" s="24"/>
      <c r="H100" s="25"/>
      <c r="I100" s="180"/>
      <c r="J100" s="181"/>
      <c r="K100" s="181"/>
    </row>
    <row r="101" spans="3:21" ht="15" customHeight="1" x14ac:dyDescent="0.2">
      <c r="C101" s="151" t="s">
        <v>171</v>
      </c>
      <c r="D101" s="151"/>
      <c r="E101" s="151"/>
      <c r="F101" s="151"/>
      <c r="I101" s="475" t="s">
        <v>113</v>
      </c>
      <c r="J101" s="184">
        <v>0</v>
      </c>
      <c r="K101" s="181"/>
    </row>
    <row r="102" spans="3:21" ht="15" customHeight="1" x14ac:dyDescent="0.2">
      <c r="C102" s="151"/>
      <c r="D102" s="151"/>
      <c r="E102" s="151"/>
      <c r="F102" s="151"/>
      <c r="I102" s="145"/>
      <c r="J102" s="179"/>
      <c r="K102" s="181"/>
    </row>
    <row r="103" spans="3:21" ht="15" customHeight="1" x14ac:dyDescent="0.2">
      <c r="C103" s="153" t="s">
        <v>14</v>
      </c>
      <c r="D103" s="153"/>
      <c r="E103" s="150"/>
      <c r="F103" s="150"/>
      <c r="I103" s="145"/>
      <c r="J103" s="182"/>
      <c r="K103" s="181"/>
    </row>
    <row r="104" spans="3:21" ht="15" customHeight="1" x14ac:dyDescent="0.2">
      <c r="C104" s="151" t="s">
        <v>149</v>
      </c>
      <c r="D104" s="151"/>
      <c r="E104" s="151"/>
      <c r="F104" s="151"/>
      <c r="I104" s="145" t="s">
        <v>176</v>
      </c>
      <c r="J104" s="161">
        <v>0</v>
      </c>
      <c r="K104" s="181"/>
    </row>
    <row r="105" spans="3:21" ht="15" customHeight="1" x14ac:dyDescent="0.2">
      <c r="C105" s="151"/>
      <c r="D105" s="151"/>
      <c r="E105" s="151"/>
      <c r="F105" s="151"/>
      <c r="G105" s="145"/>
      <c r="I105" s="152"/>
      <c r="J105" s="180"/>
      <c r="K105" s="181"/>
    </row>
    <row r="106" spans="3:21" ht="13.35" customHeight="1" x14ac:dyDescent="0.2">
      <c r="C106" s="8" t="s">
        <v>25</v>
      </c>
      <c r="D106" s="8"/>
      <c r="E106" s="7"/>
      <c r="F106" s="7"/>
      <c r="G106" s="26"/>
      <c r="I106" s="27"/>
      <c r="J106" s="183"/>
      <c r="K106" s="27"/>
    </row>
    <row r="107" spans="3:21" ht="13.35" customHeight="1" x14ac:dyDescent="0.2">
      <c r="C107" s="151" t="s">
        <v>223</v>
      </c>
      <c r="D107" s="151"/>
      <c r="E107" s="151"/>
      <c r="F107" s="151"/>
      <c r="I107" s="145" t="s">
        <v>31</v>
      </c>
      <c r="J107" s="384">
        <v>0</v>
      </c>
      <c r="K107" s="27"/>
    </row>
    <row r="108" spans="3:21" ht="13.35" customHeight="1" x14ac:dyDescent="0.2">
      <c r="C108" s="151"/>
      <c r="D108" s="151"/>
      <c r="E108" s="151"/>
      <c r="F108" s="151"/>
      <c r="I108" s="145"/>
      <c r="J108" s="159"/>
      <c r="K108" s="27"/>
    </row>
    <row r="109" spans="3:21" ht="13.35" customHeight="1" x14ac:dyDescent="0.2">
      <c r="C109" s="22" t="s">
        <v>26</v>
      </c>
      <c r="D109" s="35"/>
      <c r="E109" s="35"/>
      <c r="F109" s="23"/>
      <c r="I109" s="24"/>
      <c r="J109" s="36"/>
      <c r="K109" s="27"/>
    </row>
    <row r="110" spans="3:21" ht="13.35" customHeight="1" x14ac:dyDescent="0.2">
      <c r="C110" s="434" t="s">
        <v>325</v>
      </c>
      <c r="D110" s="151"/>
      <c r="E110" s="150"/>
      <c r="F110" s="150"/>
      <c r="I110" s="145" t="s">
        <v>157</v>
      </c>
      <c r="J110" s="354">
        <v>0</v>
      </c>
      <c r="K110" s="27"/>
      <c r="M110" s="522"/>
      <c r="N110" s="522"/>
      <c r="O110" s="467"/>
      <c r="P110" s="467"/>
      <c r="Q110" s="467"/>
      <c r="R110" s="467"/>
      <c r="S110" s="467"/>
      <c r="T110" s="467"/>
      <c r="U110" s="467"/>
    </row>
    <row r="111" spans="3:21" ht="13.35" customHeight="1" x14ac:dyDescent="0.2">
      <c r="C111" s="434" t="s">
        <v>255</v>
      </c>
      <c r="D111" s="151"/>
      <c r="E111" s="150"/>
      <c r="F111" s="150"/>
      <c r="I111" s="145" t="s">
        <v>157</v>
      </c>
      <c r="J111" s="354">
        <v>0</v>
      </c>
      <c r="M111" s="522"/>
      <c r="N111" s="522"/>
      <c r="O111" s="467"/>
      <c r="P111" s="467"/>
      <c r="Q111" s="467"/>
      <c r="R111" s="467"/>
      <c r="S111" s="467"/>
      <c r="T111" s="467"/>
      <c r="U111" s="467"/>
    </row>
    <row r="112" spans="3:21" ht="13.35" customHeight="1" x14ac:dyDescent="0.2">
      <c r="C112" s="151" t="s">
        <v>27</v>
      </c>
      <c r="D112" s="151"/>
      <c r="E112" s="150"/>
      <c r="F112" s="150"/>
      <c r="I112" s="145" t="s">
        <v>157</v>
      </c>
      <c r="J112" s="354">
        <v>0</v>
      </c>
      <c r="M112" s="522"/>
      <c r="N112" s="523"/>
      <c r="O112" s="523"/>
      <c r="P112" s="523"/>
      <c r="Q112" s="523"/>
      <c r="R112" s="523"/>
      <c r="S112" s="523"/>
      <c r="T112" s="523"/>
      <c r="U112" s="523"/>
    </row>
    <row r="113" spans="3:21" ht="13.35" customHeight="1" x14ac:dyDescent="0.2">
      <c r="C113" s="151" t="s">
        <v>28</v>
      </c>
      <c r="D113" s="151"/>
      <c r="E113" s="150"/>
      <c r="F113" s="150"/>
      <c r="I113" s="145" t="s">
        <v>157</v>
      </c>
      <c r="J113" s="354">
        <v>0</v>
      </c>
      <c r="M113" s="522"/>
      <c r="N113" s="523"/>
      <c r="O113" s="523"/>
      <c r="P113" s="523"/>
      <c r="Q113" s="523"/>
      <c r="R113" s="523"/>
      <c r="S113" s="523"/>
      <c r="T113" s="523"/>
      <c r="U113" s="523"/>
    </row>
    <row r="114" spans="3:21" ht="13.35" customHeight="1" x14ac:dyDescent="0.2">
      <c r="C114" s="151" t="s">
        <v>213</v>
      </c>
      <c r="D114" s="151"/>
      <c r="E114" s="150"/>
      <c r="F114" s="150"/>
      <c r="I114" s="145" t="s">
        <v>157</v>
      </c>
      <c r="J114" s="354">
        <v>0</v>
      </c>
      <c r="M114" s="522"/>
      <c r="N114" s="523"/>
      <c r="O114" s="523"/>
      <c r="P114" s="523"/>
      <c r="Q114" s="523"/>
      <c r="R114" s="523"/>
      <c r="S114" s="523"/>
      <c r="T114" s="523"/>
      <c r="U114" s="523"/>
    </row>
    <row r="115" spans="3:21" ht="13.35" customHeight="1" x14ac:dyDescent="0.2">
      <c r="C115" s="434" t="s">
        <v>268</v>
      </c>
      <c r="D115" s="151"/>
      <c r="E115" s="150"/>
      <c r="F115" s="150"/>
      <c r="I115" s="145" t="str">
        <f>+I114</f>
        <v>R$</v>
      </c>
      <c r="J115" s="354">
        <v>0</v>
      </c>
      <c r="M115" s="522"/>
      <c r="N115" s="523"/>
      <c r="O115" s="523"/>
      <c r="P115" s="523"/>
      <c r="Q115" s="523"/>
      <c r="R115" s="523"/>
      <c r="S115" s="523"/>
      <c r="T115" s="523"/>
      <c r="U115" s="523"/>
    </row>
    <row r="116" spans="3:21" ht="13.35" customHeight="1" x14ac:dyDescent="0.2">
      <c r="C116" s="151"/>
      <c r="D116" s="151"/>
      <c r="E116" s="150"/>
      <c r="F116" s="150"/>
      <c r="I116" s="145"/>
      <c r="J116" s="160"/>
      <c r="M116" s="522"/>
      <c r="N116" s="523"/>
      <c r="O116" s="523"/>
      <c r="P116" s="523"/>
      <c r="Q116" s="523"/>
      <c r="R116" s="523"/>
      <c r="S116" s="523"/>
      <c r="T116" s="523"/>
      <c r="U116" s="523"/>
    </row>
    <row r="117" spans="3:21" ht="13.35" customHeight="1" x14ac:dyDescent="0.2">
      <c r="C117" s="153" t="s">
        <v>29</v>
      </c>
      <c r="D117" s="153"/>
      <c r="E117" s="150"/>
      <c r="F117" s="150"/>
      <c r="I117" s="145"/>
      <c r="J117" s="161"/>
      <c r="M117" s="522"/>
      <c r="N117" s="523"/>
      <c r="O117" s="523"/>
      <c r="P117" s="523"/>
      <c r="Q117" s="523"/>
      <c r="R117" s="523"/>
      <c r="S117" s="523"/>
      <c r="T117" s="523"/>
      <c r="U117" s="523"/>
    </row>
    <row r="118" spans="3:21" ht="13.35" customHeight="1" x14ac:dyDescent="0.2">
      <c r="C118" s="151" t="s">
        <v>30</v>
      </c>
      <c r="D118" s="151"/>
      <c r="E118" s="151"/>
      <c r="F118" s="151"/>
      <c r="I118" s="145" t="s">
        <v>31</v>
      </c>
      <c r="J118" s="159">
        <v>0</v>
      </c>
      <c r="M118" s="522"/>
      <c r="N118" s="523"/>
      <c r="O118" s="523"/>
      <c r="P118" s="523"/>
      <c r="Q118" s="523"/>
      <c r="R118" s="523"/>
      <c r="S118" s="523"/>
      <c r="T118" s="523"/>
      <c r="U118" s="523"/>
    </row>
    <row r="119" spans="3:21" ht="13.35" customHeight="1" x14ac:dyDescent="0.2">
      <c r="C119" s="151"/>
      <c r="D119" s="151"/>
      <c r="E119" s="151"/>
      <c r="F119" s="151"/>
      <c r="I119" s="145"/>
      <c r="J119" s="159"/>
      <c r="M119" s="522"/>
      <c r="N119" s="523"/>
      <c r="O119" s="523"/>
      <c r="P119" s="523"/>
      <c r="Q119" s="523"/>
      <c r="R119" s="523"/>
      <c r="S119" s="523"/>
      <c r="T119" s="523"/>
      <c r="U119" s="523"/>
    </row>
    <row r="120" spans="3:21" ht="13.35" customHeight="1" x14ac:dyDescent="0.2">
      <c r="C120" s="153" t="s">
        <v>221</v>
      </c>
      <c r="D120" s="153"/>
      <c r="E120" s="153"/>
      <c r="F120" s="150"/>
      <c r="I120" s="145"/>
      <c r="J120" s="161"/>
      <c r="M120" s="467"/>
      <c r="N120" s="467"/>
      <c r="O120" s="467"/>
      <c r="P120" s="467"/>
      <c r="Q120" s="467"/>
      <c r="R120" s="467"/>
      <c r="S120" s="467"/>
      <c r="T120" s="467"/>
      <c r="U120" s="523"/>
    </row>
    <row r="121" spans="3:21" ht="13.35" customHeight="1" x14ac:dyDescent="0.2">
      <c r="C121" s="434" t="s">
        <v>325</v>
      </c>
      <c r="D121" s="153"/>
      <c r="E121" s="153"/>
      <c r="F121" s="150"/>
      <c r="I121" s="174" t="s">
        <v>162</v>
      </c>
      <c r="J121" s="161">
        <v>0</v>
      </c>
      <c r="K121" s="431"/>
      <c r="M121" s="467"/>
      <c r="N121" s="467"/>
      <c r="O121" s="467"/>
      <c r="P121" s="467"/>
      <c r="Q121" s="467"/>
      <c r="R121" s="467"/>
      <c r="S121" s="467"/>
      <c r="T121" s="467"/>
      <c r="U121" s="467"/>
    </row>
    <row r="122" spans="3:21" ht="13.35" customHeight="1" x14ac:dyDescent="0.2">
      <c r="C122" s="434" t="s">
        <v>255</v>
      </c>
      <c r="D122" s="151"/>
      <c r="E122" s="150"/>
      <c r="F122" s="150"/>
      <c r="I122" s="174" t="s">
        <v>162</v>
      </c>
      <c r="J122" s="431">
        <v>0</v>
      </c>
      <c r="K122" s="431"/>
      <c r="M122" s="467"/>
      <c r="N122" s="523"/>
      <c r="O122" s="523"/>
      <c r="P122" s="523"/>
      <c r="Q122" s="523"/>
      <c r="R122" s="523"/>
      <c r="S122" s="523"/>
      <c r="T122" s="523"/>
      <c r="U122" s="523"/>
    </row>
    <row r="123" spans="3:21" ht="13.35" customHeight="1" x14ac:dyDescent="0.2">
      <c r="C123" s="151" t="s">
        <v>27</v>
      </c>
      <c r="D123" s="151"/>
      <c r="E123" s="150"/>
      <c r="F123" s="150"/>
      <c r="I123" s="174" t="s">
        <v>162</v>
      </c>
      <c r="J123" s="431">
        <v>0</v>
      </c>
      <c r="K123" s="431"/>
      <c r="M123" s="467"/>
      <c r="N123" s="523"/>
      <c r="O123" s="523"/>
      <c r="P123" s="523"/>
      <c r="Q123" s="523"/>
      <c r="R123" s="523"/>
      <c r="S123" s="523"/>
      <c r="T123" s="523"/>
      <c r="U123" s="523"/>
    </row>
    <row r="124" spans="3:21" ht="13.35" customHeight="1" x14ac:dyDescent="0.2">
      <c r="C124" s="151" t="s">
        <v>28</v>
      </c>
      <c r="D124" s="151"/>
      <c r="E124" s="150"/>
      <c r="F124" s="150"/>
      <c r="I124" s="174" t="s">
        <v>162</v>
      </c>
      <c r="J124" s="385">
        <v>0</v>
      </c>
      <c r="K124" s="439"/>
      <c r="M124" s="467"/>
      <c r="N124" s="523"/>
      <c r="O124" s="523"/>
      <c r="P124" s="523"/>
      <c r="Q124" s="523"/>
      <c r="R124" s="523"/>
      <c r="S124" s="523"/>
      <c r="T124" s="523"/>
      <c r="U124" s="523"/>
    </row>
    <row r="125" spans="3:21" ht="13.35" customHeight="1" x14ac:dyDescent="0.2">
      <c r="C125" s="151" t="s">
        <v>213</v>
      </c>
      <c r="D125" s="151"/>
      <c r="E125" s="150"/>
      <c r="F125" s="150"/>
      <c r="I125" s="174" t="s">
        <v>162</v>
      </c>
      <c r="J125" s="385">
        <v>0</v>
      </c>
      <c r="K125" s="439"/>
      <c r="M125" s="467"/>
      <c r="N125" s="467"/>
      <c r="O125" s="467"/>
      <c r="P125" s="467"/>
      <c r="Q125" s="467"/>
      <c r="R125" s="467"/>
      <c r="S125" s="467"/>
      <c r="T125" s="467"/>
      <c r="U125" s="467"/>
    </row>
    <row r="126" spans="3:21" ht="13.35" customHeight="1" x14ac:dyDescent="0.2">
      <c r="C126" s="434" t="s">
        <v>268</v>
      </c>
      <c r="D126" s="151"/>
      <c r="E126" s="150"/>
      <c r="F126" s="150"/>
      <c r="I126" s="174" t="str">
        <f>+I125</f>
        <v>F.U.</v>
      </c>
      <c r="J126" s="439">
        <v>0</v>
      </c>
      <c r="K126" s="439"/>
      <c r="M126" s="467"/>
      <c r="N126" s="523"/>
      <c r="O126" s="523"/>
      <c r="P126" s="523"/>
      <c r="Q126" s="523"/>
      <c r="R126" s="523"/>
      <c r="S126" s="523"/>
      <c r="T126" s="523"/>
      <c r="U126" s="523"/>
    </row>
    <row r="127" spans="3:21" ht="13.35" customHeight="1" x14ac:dyDescent="0.2">
      <c r="C127" s="151"/>
      <c r="D127" s="151"/>
      <c r="E127" s="150"/>
      <c r="F127" s="150"/>
      <c r="I127" s="168"/>
      <c r="J127" s="161"/>
      <c r="K127" s="27"/>
      <c r="M127" s="467"/>
      <c r="N127" s="467"/>
      <c r="O127" s="467"/>
      <c r="P127" s="467"/>
      <c r="Q127" s="467"/>
      <c r="R127" s="467"/>
      <c r="S127" s="467"/>
      <c r="T127" s="467"/>
      <c r="U127" s="467"/>
    </row>
    <row r="128" spans="3:21" ht="13.35" customHeight="1" x14ac:dyDescent="0.2">
      <c r="C128" s="153" t="s">
        <v>218</v>
      </c>
      <c r="D128" s="151"/>
      <c r="E128" s="150"/>
      <c r="F128" s="150"/>
      <c r="I128" s="168"/>
      <c r="J128" s="161"/>
      <c r="K128" s="432" t="s">
        <v>224</v>
      </c>
      <c r="M128" s="467"/>
      <c r="N128" s="523"/>
      <c r="O128" s="523"/>
      <c r="P128" s="523"/>
      <c r="Q128" s="523"/>
      <c r="R128" s="523"/>
      <c r="S128" s="523"/>
      <c r="T128" s="523"/>
      <c r="U128" s="523"/>
    </row>
    <row r="129" spans="3:21" ht="13.35" customHeight="1" x14ac:dyDescent="0.2">
      <c r="C129" s="151" t="s">
        <v>219</v>
      </c>
      <c r="D129" s="151"/>
      <c r="E129" s="150"/>
      <c r="F129" s="150"/>
      <c r="I129" s="174" t="s">
        <v>162</v>
      </c>
      <c r="J129" s="161">
        <f>SUM(J122:J126)</f>
        <v>0</v>
      </c>
      <c r="K129" s="433">
        <f>+J129</f>
        <v>0</v>
      </c>
      <c r="M129" s="467"/>
      <c r="N129" s="524"/>
      <c r="O129" s="524"/>
      <c r="P129" s="524"/>
      <c r="Q129" s="524"/>
      <c r="R129" s="524"/>
      <c r="S129" s="524"/>
      <c r="T129" s="524"/>
      <c r="U129" s="524"/>
    </row>
    <row r="130" spans="3:21" ht="13.35" customHeight="1" x14ac:dyDescent="0.2">
      <c r="C130" s="151"/>
      <c r="D130" s="151"/>
      <c r="E130" s="150"/>
      <c r="F130" s="150"/>
      <c r="I130" s="168"/>
      <c r="J130" s="161"/>
      <c r="K130" s="392"/>
      <c r="M130" s="467"/>
      <c r="N130" s="467"/>
      <c r="O130" s="467"/>
      <c r="P130" s="467"/>
      <c r="Q130" s="467"/>
      <c r="R130" s="467"/>
      <c r="S130" s="467"/>
      <c r="T130" s="467"/>
      <c r="U130" s="467"/>
    </row>
    <row r="131" spans="3:21" ht="13.35" customHeight="1" x14ac:dyDescent="0.2">
      <c r="C131" s="153" t="s">
        <v>210</v>
      </c>
      <c r="D131" s="150"/>
      <c r="E131" s="150"/>
      <c r="F131" s="150"/>
      <c r="I131" s="145"/>
      <c r="J131" s="161"/>
      <c r="K131" s="27"/>
      <c r="M131" s="467"/>
      <c r="N131" s="525"/>
      <c r="O131" s="525"/>
      <c r="P131" s="525"/>
      <c r="Q131" s="525"/>
      <c r="R131" s="525"/>
      <c r="S131" s="525"/>
      <c r="T131" s="525"/>
      <c r="U131" s="525"/>
    </row>
    <row r="132" spans="3:21" ht="13.35" customHeight="1" x14ac:dyDescent="0.2">
      <c r="C132" s="151" t="s">
        <v>204</v>
      </c>
      <c r="D132" s="151"/>
      <c r="E132" s="150"/>
      <c r="F132" s="150"/>
      <c r="I132" s="145" t="s">
        <v>157</v>
      </c>
      <c r="J132" s="386">
        <v>0</v>
      </c>
      <c r="K132" s="27"/>
      <c r="M132" s="467"/>
      <c r="N132" s="467"/>
      <c r="O132" s="467"/>
      <c r="P132" s="467"/>
      <c r="Q132" s="467"/>
      <c r="R132" s="467"/>
      <c r="S132" s="467"/>
      <c r="T132" s="467"/>
      <c r="U132" s="467"/>
    </row>
    <row r="133" spans="3:21" ht="13.35" customHeight="1" x14ac:dyDescent="0.2">
      <c r="C133" s="151"/>
      <c r="D133" s="151"/>
      <c r="E133" s="150"/>
      <c r="F133" s="150"/>
      <c r="I133" s="145"/>
      <c r="J133" s="160"/>
      <c r="M133" s="467"/>
      <c r="N133" s="524"/>
      <c r="O133" s="524"/>
      <c r="P133" s="524"/>
      <c r="Q133" s="524"/>
      <c r="R133" s="524"/>
      <c r="S133" s="524"/>
      <c r="T133" s="524"/>
      <c r="U133" s="524"/>
    </row>
    <row r="134" spans="3:21" ht="13.35" customHeight="1" x14ac:dyDescent="0.2">
      <c r="C134" s="153" t="s">
        <v>33</v>
      </c>
      <c r="D134" s="150"/>
      <c r="E134" s="150"/>
      <c r="F134" s="150"/>
      <c r="I134" s="145"/>
      <c r="J134" s="161"/>
      <c r="M134" s="467"/>
      <c r="N134" s="467"/>
      <c r="O134" s="467"/>
      <c r="P134" s="467"/>
      <c r="Q134" s="467"/>
      <c r="R134" s="467"/>
      <c r="S134" s="467"/>
      <c r="T134" s="467"/>
      <c r="U134" s="467"/>
    </row>
    <row r="135" spans="3:21" ht="13.35" customHeight="1" x14ac:dyDescent="0.2">
      <c r="C135" s="151" t="s">
        <v>214</v>
      </c>
      <c r="D135" s="151"/>
      <c r="E135" s="151"/>
      <c r="F135" s="151"/>
      <c r="I135" s="145" t="s">
        <v>157</v>
      </c>
      <c r="J135" s="387">
        <v>0</v>
      </c>
      <c r="K135" s="387"/>
    </row>
    <row r="136" spans="3:21" ht="13.35" customHeight="1" x14ac:dyDescent="0.2">
      <c r="C136" s="151"/>
      <c r="D136" s="151"/>
      <c r="E136" s="151"/>
      <c r="F136" s="151"/>
      <c r="I136" s="145"/>
      <c r="J136" s="160"/>
    </row>
    <row r="137" spans="3:21" ht="13.35" customHeight="1" x14ac:dyDescent="0.2">
      <c r="C137" s="153" t="s">
        <v>222</v>
      </c>
      <c r="D137" s="153"/>
      <c r="E137" s="153"/>
      <c r="F137" s="153"/>
      <c r="I137" s="162"/>
      <c r="J137" s="153"/>
    </row>
    <row r="138" spans="3:21" ht="13.35" customHeight="1" x14ac:dyDescent="0.2">
      <c r="C138" s="151" t="s">
        <v>35</v>
      </c>
      <c r="D138" s="151"/>
      <c r="E138" s="151"/>
      <c r="F138" s="151"/>
      <c r="I138" s="178" t="s">
        <v>178</v>
      </c>
      <c r="J138" s="355">
        <v>0</v>
      </c>
    </row>
    <row r="139" spans="3:21" ht="13.35" customHeight="1" x14ac:dyDescent="0.2">
      <c r="C139" s="151"/>
      <c r="D139" s="151"/>
      <c r="E139" s="151"/>
      <c r="F139" s="151"/>
      <c r="I139" s="145"/>
      <c r="J139" s="159"/>
    </row>
    <row r="140" spans="3:21" ht="13.35" customHeight="1" x14ac:dyDescent="0.2">
      <c r="C140" s="153" t="s">
        <v>160</v>
      </c>
      <c r="D140" s="153"/>
      <c r="E140" s="153"/>
      <c r="F140" s="153"/>
      <c r="I140" s="162"/>
      <c r="J140" s="312"/>
    </row>
    <row r="141" spans="3:21" ht="13.35" customHeight="1" x14ac:dyDescent="0.2">
      <c r="C141" s="151" t="s">
        <v>36</v>
      </c>
      <c r="D141" s="153"/>
      <c r="E141" s="153"/>
      <c r="I141" s="376" t="s">
        <v>38</v>
      </c>
      <c r="J141" s="161">
        <v>0</v>
      </c>
    </row>
    <row r="142" spans="3:21" ht="13.35" customHeight="1" x14ac:dyDescent="0.2">
      <c r="D142" s="151"/>
      <c r="E142" s="151"/>
      <c r="I142" s="377" t="s">
        <v>37</v>
      </c>
      <c r="J142" s="161">
        <v>0</v>
      </c>
      <c r="K142" s="27"/>
    </row>
    <row r="143" spans="3:21" ht="13.35" customHeight="1" x14ac:dyDescent="0.2">
      <c r="D143" s="151"/>
      <c r="E143" s="151"/>
      <c r="F143" s="145"/>
      <c r="I143" s="377"/>
      <c r="J143" s="161"/>
    </row>
    <row r="144" spans="3:21" ht="13.35" customHeight="1" x14ac:dyDescent="0.2">
      <c r="C144" s="153" t="s">
        <v>161</v>
      </c>
      <c r="D144" s="151"/>
      <c r="E144" s="151"/>
      <c r="F144" s="145"/>
      <c r="I144" s="377"/>
      <c r="J144" s="161"/>
      <c r="K144" s="159"/>
    </row>
    <row r="145" spans="3:11" ht="13.35" customHeight="1" x14ac:dyDescent="0.2">
      <c r="C145" s="151" t="s">
        <v>39</v>
      </c>
      <c r="D145" s="151"/>
      <c r="E145" s="151"/>
      <c r="F145" s="145"/>
      <c r="I145" s="377" t="s">
        <v>37</v>
      </c>
      <c r="J145" s="161">
        <v>0</v>
      </c>
      <c r="K145" s="163"/>
    </row>
    <row r="146" spans="3:11" ht="13.35" customHeight="1" x14ac:dyDescent="0.2">
      <c r="C146" s="151"/>
      <c r="D146" s="151"/>
      <c r="E146" s="151"/>
      <c r="F146" s="145"/>
      <c r="I146" s="158"/>
      <c r="J146" s="159"/>
      <c r="K146" s="163"/>
    </row>
    <row r="147" spans="3:11" ht="13.35" customHeight="1" x14ac:dyDescent="0.2">
      <c r="C147" s="153" t="s">
        <v>243</v>
      </c>
      <c r="D147" s="151"/>
      <c r="E147" s="151"/>
      <c r="F147" s="145"/>
      <c r="I147" s="158"/>
      <c r="J147" s="159"/>
      <c r="K147" s="163"/>
    </row>
    <row r="148" spans="3:11" ht="13.35" customHeight="1" x14ac:dyDescent="0.2">
      <c r="C148" s="434" t="s">
        <v>308</v>
      </c>
      <c r="D148" s="151"/>
      <c r="E148" s="151"/>
      <c r="F148" s="145"/>
      <c r="I148" s="377" t="s">
        <v>113</v>
      </c>
      <c r="J148" s="159">
        <v>0</v>
      </c>
      <c r="K148" s="163"/>
    </row>
    <row r="149" spans="3:11" ht="13.35" customHeight="1" x14ac:dyDescent="0.2">
      <c r="C149" s="151"/>
      <c r="D149" s="151"/>
      <c r="E149" s="151"/>
      <c r="F149" s="145"/>
      <c r="I149" s="158"/>
      <c r="J149" s="159"/>
      <c r="K149" s="163"/>
    </row>
    <row r="150" spans="3:11" ht="13.35" customHeight="1" x14ac:dyDescent="0.2">
      <c r="C150" s="153" t="s">
        <v>40</v>
      </c>
      <c r="D150" s="153"/>
      <c r="E150" s="150"/>
      <c r="F150" s="150"/>
      <c r="I150" s="145"/>
      <c r="J150" s="161"/>
      <c r="K150" s="27"/>
    </row>
    <row r="151" spans="3:11" ht="13.35" customHeight="1" x14ac:dyDescent="0.2">
      <c r="C151" s="151" t="s">
        <v>41</v>
      </c>
      <c r="D151" s="150"/>
      <c r="E151" s="150"/>
      <c r="F151" s="150"/>
      <c r="I151" s="145" t="s">
        <v>113</v>
      </c>
      <c r="J151" s="159">
        <v>0</v>
      </c>
      <c r="K151" s="27"/>
    </row>
    <row r="152" spans="3:11" ht="13.35" customHeight="1" x14ac:dyDescent="0.2">
      <c r="C152" s="151" t="s">
        <v>215</v>
      </c>
      <c r="D152" s="151"/>
      <c r="E152" s="150"/>
      <c r="F152" s="150"/>
      <c r="I152" s="145" t="s">
        <v>113</v>
      </c>
      <c r="J152" s="355">
        <v>0</v>
      </c>
      <c r="K152" s="27"/>
    </row>
    <row r="153" spans="3:11" ht="13.35" customHeight="1" x14ac:dyDescent="0.2">
      <c r="C153" s="151" t="s">
        <v>42</v>
      </c>
      <c r="D153" s="150"/>
      <c r="E153" s="150"/>
      <c r="F153" s="150"/>
      <c r="I153" s="145" t="s">
        <v>113</v>
      </c>
      <c r="J153" s="159">
        <v>0</v>
      </c>
      <c r="K153" s="27"/>
    </row>
    <row r="154" spans="3:11" ht="13.35" customHeight="1" x14ac:dyDescent="0.2">
      <c r="C154" s="434" t="s">
        <v>230</v>
      </c>
      <c r="D154" s="150"/>
      <c r="E154" s="150"/>
      <c r="F154" s="150"/>
      <c r="I154" s="145" t="s">
        <v>113</v>
      </c>
      <c r="J154" s="159">
        <v>0</v>
      </c>
      <c r="K154" s="27"/>
    </row>
    <row r="155" spans="3:11" ht="13.35" customHeight="1" x14ac:dyDescent="0.2">
      <c r="C155" s="151" t="s">
        <v>216</v>
      </c>
      <c r="D155" s="150"/>
      <c r="E155" s="150"/>
      <c r="F155" s="150"/>
      <c r="I155" s="145" t="s">
        <v>113</v>
      </c>
      <c r="J155" s="159">
        <v>0</v>
      </c>
      <c r="K155" s="27"/>
    </row>
    <row r="156" spans="3:11" ht="13.35" customHeight="1" x14ac:dyDescent="0.2">
      <c r="C156" s="380" t="s">
        <v>43</v>
      </c>
      <c r="D156" s="172"/>
      <c r="E156" s="308"/>
      <c r="F156" s="308"/>
      <c r="G156" s="174"/>
      <c r="I156" s="174" t="s">
        <v>113</v>
      </c>
      <c r="J156" s="310">
        <f>SUM(J151:J155)</f>
        <v>0</v>
      </c>
      <c r="K156" s="311"/>
    </row>
    <row r="159" spans="3:11" ht="13.35" customHeight="1" x14ac:dyDescent="0.2">
      <c r="I159" s="414"/>
    </row>
  </sheetData>
  <mergeCells count="16">
    <mergeCell ref="C99:I99"/>
    <mergeCell ref="C54:G55"/>
    <mergeCell ref="H54:K54"/>
    <mergeCell ref="D75:E75"/>
    <mergeCell ref="F75:G75"/>
    <mergeCell ref="H75:I75"/>
    <mergeCell ref="J75:K75"/>
    <mergeCell ref="C1:K1"/>
    <mergeCell ref="C20:G20"/>
    <mergeCell ref="H39:K39"/>
    <mergeCell ref="C39:G40"/>
    <mergeCell ref="C2:K2"/>
    <mergeCell ref="C3:K3"/>
    <mergeCell ref="C4:K4"/>
    <mergeCell ref="C5:K5"/>
    <mergeCell ref="C7:K7"/>
  </mergeCells>
  <phoneticPr fontId="0" type="noConversion"/>
  <dataValidations count="2">
    <dataValidation type="whole" allowBlank="1" showInputMessage="1" showErrorMessage="1" sqref="H66:K66">
      <formula1>0</formula1>
      <formula2>1</formula2>
    </dataValidation>
    <dataValidation type="decimal" allowBlank="1" showInputMessage="1" showErrorMessage="1" sqref="H67:K67">
      <formula1>0</formula1>
      <formula2>3</formula2>
    </dataValidation>
  </dataValidations>
  <printOptions horizontalCentered="1"/>
  <pageMargins left="0.19685039370078741" right="0" top="0.39370078740157483" bottom="0" header="0.59055118110236227" footer="0.51181102362204722"/>
  <pageSetup paperSize="9" scale="73" fitToHeight="2" orientation="portrait" horizontalDpi="4294967295" verticalDpi="4294967295" r:id="rId1"/>
  <headerFooter alignWithMargins="0"/>
  <rowBreaks count="1" manualBreakCount="1"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R87"/>
  <sheetViews>
    <sheetView showGridLines="0" zoomScale="90" zoomScaleNormal="90" workbookViewId="0">
      <selection activeCell="K75" sqref="K75"/>
    </sheetView>
  </sheetViews>
  <sheetFormatPr defaultColWidth="9.140625" defaultRowHeight="13.35" customHeight="1" outlineLevelCol="1" x14ac:dyDescent="0.2"/>
  <cols>
    <col min="1" max="1" width="0.85546875" style="3" customWidth="1"/>
    <col min="2" max="2" width="1.85546875" style="3" customWidth="1"/>
    <col min="3" max="5" width="10.85546875" style="3" customWidth="1"/>
    <col min="6" max="6" width="14.140625" style="3" customWidth="1"/>
    <col min="7" max="7" width="13.85546875" style="3" customWidth="1"/>
    <col min="8" max="8" width="14" style="3" customWidth="1"/>
    <col min="9" max="9" width="14.85546875" style="3" customWidth="1"/>
    <col min="10" max="10" width="15.85546875" style="3" customWidth="1"/>
    <col min="11" max="11" width="21" style="3" customWidth="1"/>
    <col min="12" max="12" width="9.140625" style="3" customWidth="1"/>
    <col min="13" max="13" width="14" style="3" customWidth="1"/>
    <col min="14" max="14" width="15" style="3" customWidth="1" outlineLevel="1"/>
    <col min="15" max="18" width="9.140625" style="3" customWidth="1" outlineLevel="1"/>
    <col min="19" max="16384" width="9.140625" style="3"/>
  </cols>
  <sheetData>
    <row r="1" spans="1:18" ht="18" customHeight="1" x14ac:dyDescent="0.2"/>
    <row r="2" spans="1:18" ht="18.75" customHeight="1" thickBot="1" x14ac:dyDescent="0.25">
      <c r="A2" s="176" t="s">
        <v>205</v>
      </c>
      <c r="B2" s="176"/>
      <c r="C2" s="175"/>
      <c r="D2" s="175"/>
      <c r="E2" s="175"/>
      <c r="F2" s="175"/>
      <c r="G2" s="175"/>
      <c r="H2" s="175"/>
      <c r="I2" s="175"/>
      <c r="J2" s="175"/>
      <c r="K2" s="175"/>
    </row>
    <row r="3" spans="1:18" ht="14.25" customHeight="1" thickTop="1" x14ac:dyDescent="0.2"/>
    <row r="4" spans="1:18" ht="14.25" customHeight="1" x14ac:dyDescent="0.2"/>
    <row r="5" spans="1:18" ht="14.25" customHeight="1" x14ac:dyDescent="0.2"/>
    <row r="6" spans="1:18" ht="18" customHeight="1" x14ac:dyDescent="0.2">
      <c r="B6" s="2" t="s">
        <v>261</v>
      </c>
      <c r="C6" s="5"/>
      <c r="D6" s="5"/>
      <c r="E6" s="5"/>
      <c r="F6" s="5"/>
      <c r="G6" s="5"/>
      <c r="H6" s="5"/>
      <c r="I6" s="5"/>
      <c r="J6" s="5"/>
      <c r="K6" s="5"/>
    </row>
    <row r="7" spans="1:18" ht="14.25" customHeight="1" x14ac:dyDescent="0.2"/>
    <row r="8" spans="1:18" ht="14.25" customHeight="1" x14ac:dyDescent="0.2">
      <c r="C8" s="544" t="s">
        <v>8</v>
      </c>
      <c r="D8" s="553"/>
      <c r="E8" s="553"/>
      <c r="F8" s="553"/>
      <c r="G8" s="554" t="s">
        <v>0</v>
      </c>
      <c r="H8" s="554"/>
      <c r="I8" s="554"/>
      <c r="J8" s="554"/>
      <c r="K8" s="555"/>
    </row>
    <row r="9" spans="1:18" ht="14.25" customHeight="1" x14ac:dyDescent="0.2">
      <c r="C9" s="544"/>
      <c r="D9" s="553"/>
      <c r="E9" s="553"/>
      <c r="F9" s="553"/>
      <c r="G9" s="240" t="s">
        <v>2</v>
      </c>
      <c r="H9" s="240" t="s">
        <v>250</v>
      </c>
      <c r="I9" s="240" t="s">
        <v>249</v>
      </c>
      <c r="J9" s="240" t="s">
        <v>251</v>
      </c>
      <c r="K9" s="189" t="s">
        <v>44</v>
      </c>
      <c r="M9"/>
      <c r="N9"/>
      <c r="O9"/>
      <c r="P9"/>
      <c r="Q9"/>
      <c r="R9"/>
    </row>
    <row r="10" spans="1:18" ht="14.25" customHeight="1" x14ac:dyDescent="0.2">
      <c r="C10" s="199" t="s">
        <v>45</v>
      </c>
      <c r="D10" s="200"/>
      <c r="E10" s="200"/>
      <c r="F10" s="203"/>
      <c r="G10" s="17"/>
      <c r="H10" s="215"/>
      <c r="I10" s="215"/>
      <c r="J10" s="215"/>
      <c r="K10" s="23"/>
      <c r="M10"/>
      <c r="N10"/>
      <c r="O10"/>
      <c r="P10"/>
      <c r="Q10"/>
      <c r="R10"/>
    </row>
    <row r="11" spans="1:18" ht="14.25" customHeight="1" x14ac:dyDescent="0.2">
      <c r="C11" s="172" t="s">
        <v>46</v>
      </c>
      <c r="D11" s="172"/>
      <c r="E11" s="192"/>
      <c r="F11" s="204"/>
      <c r="G11" s="165">
        <v>0</v>
      </c>
      <c r="H11" s="213">
        <v>0</v>
      </c>
      <c r="I11" s="213">
        <v>0</v>
      </c>
      <c r="J11" s="441">
        <v>0</v>
      </c>
      <c r="K11" s="166">
        <f>+G11+H11+I11+J11</f>
        <v>0</v>
      </c>
      <c r="M11"/>
      <c r="N11"/>
      <c r="O11"/>
      <c r="P11"/>
      <c r="Q11"/>
      <c r="R11"/>
    </row>
    <row r="12" spans="1:18" ht="14.25" customHeight="1" x14ac:dyDescent="0.2">
      <c r="C12" s="172" t="s">
        <v>47</v>
      </c>
      <c r="D12" s="192"/>
      <c r="E12" s="192"/>
      <c r="F12" s="204"/>
      <c r="G12" s="374">
        <v>0</v>
      </c>
      <c r="H12" s="356">
        <v>0</v>
      </c>
      <c r="I12" s="356">
        <v>0</v>
      </c>
      <c r="J12" s="356">
        <v>0</v>
      </c>
      <c r="K12" s="166">
        <f>+G12+H12+I12+J12</f>
        <v>0</v>
      </c>
      <c r="M12"/>
      <c r="N12"/>
      <c r="O12"/>
      <c r="P12"/>
      <c r="Q12"/>
      <c r="R12"/>
    </row>
    <row r="13" spans="1:18" ht="14.25" customHeight="1" x14ac:dyDescent="0.2">
      <c r="C13" s="201"/>
      <c r="D13" s="202"/>
      <c r="E13" s="202"/>
      <c r="F13" s="205"/>
      <c r="G13" s="194"/>
      <c r="H13" s="216"/>
      <c r="I13" s="334"/>
      <c r="J13" s="334"/>
      <c r="K13" s="195"/>
      <c r="M13"/>
      <c r="N13"/>
      <c r="O13"/>
      <c r="P13"/>
      <c r="Q13"/>
      <c r="R13"/>
    </row>
    <row r="14" spans="1:18" ht="14.25" customHeight="1" x14ac:dyDescent="0.2">
      <c r="C14" s="193" t="s">
        <v>1</v>
      </c>
      <c r="D14" s="193"/>
      <c r="E14" s="193"/>
      <c r="F14" s="191"/>
      <c r="G14" s="207">
        <f>SUM(G11:G12)</f>
        <v>0</v>
      </c>
      <c r="H14" s="196">
        <f>SUM(H11:H12)</f>
        <v>0</v>
      </c>
      <c r="I14" s="407">
        <f>+I11+I12</f>
        <v>0</v>
      </c>
      <c r="J14" s="407">
        <f>+J11+J12</f>
        <v>0</v>
      </c>
      <c r="K14" s="207">
        <f>SUM(K11:K12)</f>
        <v>0</v>
      </c>
      <c r="M14"/>
      <c r="N14"/>
      <c r="O14"/>
      <c r="P14"/>
      <c r="Q14"/>
      <c r="R14"/>
    </row>
    <row r="15" spans="1:18" ht="14.25" customHeight="1" x14ac:dyDescent="0.2">
      <c r="C15" s="313" t="s">
        <v>199</v>
      </c>
      <c r="G15" s="314"/>
      <c r="H15" s="314"/>
      <c r="I15" s="314"/>
      <c r="J15" s="429"/>
      <c r="K15" s="409" t="str">
        <f>IF(K12=0,"",(K12/K11))</f>
        <v/>
      </c>
      <c r="M15"/>
      <c r="N15"/>
      <c r="O15"/>
      <c r="P15"/>
      <c r="Q15"/>
      <c r="R15"/>
    </row>
    <row r="16" spans="1:18" ht="14.25" customHeight="1" x14ac:dyDescent="0.2">
      <c r="M16"/>
      <c r="N16"/>
      <c r="O16"/>
      <c r="P16"/>
      <c r="Q16"/>
      <c r="R16"/>
    </row>
    <row r="17" spans="2:18" ht="14.25" customHeight="1" x14ac:dyDescent="0.2">
      <c r="M17"/>
      <c r="N17"/>
      <c r="O17"/>
      <c r="P17"/>
      <c r="Q17"/>
      <c r="R17"/>
    </row>
    <row r="18" spans="2:18" ht="14.25" customHeight="1" x14ac:dyDescent="0.2">
      <c r="O18"/>
      <c r="P18"/>
      <c r="Q18"/>
      <c r="R18"/>
    </row>
    <row r="19" spans="2:18" ht="14.25" customHeight="1" x14ac:dyDescent="0.2">
      <c r="O19"/>
      <c r="P19"/>
      <c r="Q19"/>
      <c r="R19"/>
    </row>
    <row r="20" spans="2:18" ht="18" customHeight="1" x14ac:dyDescent="0.2">
      <c r="B20" s="2" t="s">
        <v>253</v>
      </c>
      <c r="C20" s="5"/>
      <c r="D20" s="5"/>
      <c r="E20" s="5"/>
      <c r="F20" s="5"/>
      <c r="G20" s="5"/>
      <c r="H20" s="5"/>
      <c r="I20" s="5"/>
      <c r="J20" s="4"/>
      <c r="K20" s="4"/>
      <c r="O20"/>
      <c r="P20"/>
      <c r="Q20"/>
      <c r="R20"/>
    </row>
    <row r="21" spans="2:18" ht="14.25" customHeight="1" x14ac:dyDescent="0.2">
      <c r="F21" s="17"/>
      <c r="G21" s="17"/>
      <c r="J21" s="437"/>
      <c r="K21" s="437"/>
      <c r="M21"/>
      <c r="N21"/>
      <c r="O21"/>
      <c r="P21"/>
      <c r="Q21"/>
      <c r="R21"/>
    </row>
    <row r="22" spans="2:18" ht="14.25" customHeight="1" x14ac:dyDescent="0.2">
      <c r="C22" s="544" t="s">
        <v>8</v>
      </c>
      <c r="D22" s="553"/>
      <c r="E22" s="553"/>
      <c r="F22" s="553"/>
      <c r="G22" s="554" t="s">
        <v>0</v>
      </c>
      <c r="H22" s="554"/>
      <c r="I22" s="554"/>
      <c r="J22" s="556"/>
      <c r="K22" s="557"/>
      <c r="M22"/>
      <c r="N22"/>
      <c r="O22"/>
      <c r="P22"/>
      <c r="Q22"/>
      <c r="R22"/>
    </row>
    <row r="23" spans="2:18" ht="14.25" customHeight="1" x14ac:dyDescent="0.2">
      <c r="C23" s="544"/>
      <c r="D23" s="553"/>
      <c r="E23" s="553"/>
      <c r="F23" s="553"/>
      <c r="G23" s="240" t="s">
        <v>2</v>
      </c>
      <c r="H23" s="240" t="s">
        <v>250</v>
      </c>
      <c r="I23" s="240" t="s">
        <v>249</v>
      </c>
      <c r="J23" s="240" t="s">
        <v>251</v>
      </c>
      <c r="K23" s="189" t="s">
        <v>44</v>
      </c>
      <c r="M23"/>
      <c r="N23"/>
      <c r="O23"/>
      <c r="P23"/>
      <c r="Q23"/>
      <c r="R23"/>
    </row>
    <row r="24" spans="2:18" ht="14.25" customHeight="1" x14ac:dyDescent="0.2">
      <c r="C24" s="37" t="s">
        <v>45</v>
      </c>
      <c r="D24" s="38"/>
      <c r="E24" s="38"/>
      <c r="F24" s="209"/>
      <c r="G24" s="212"/>
      <c r="H24" s="211"/>
      <c r="I24" s="39"/>
      <c r="J24" s="214"/>
      <c r="K24" s="23"/>
      <c r="M24"/>
      <c r="N24"/>
      <c r="O24"/>
      <c r="P24"/>
      <c r="Q24"/>
      <c r="R24"/>
    </row>
    <row r="25" spans="2:18" ht="14.25" customHeight="1" x14ac:dyDescent="0.2">
      <c r="C25" s="434" t="s">
        <v>314</v>
      </c>
      <c r="D25" s="151"/>
      <c r="E25" s="164"/>
      <c r="F25" s="204"/>
      <c r="G25" s="357">
        <v>0</v>
      </c>
      <c r="H25" s="357">
        <v>0</v>
      </c>
      <c r="I25" s="357">
        <v>0</v>
      </c>
      <c r="J25" s="357">
        <v>0</v>
      </c>
      <c r="K25" s="166">
        <f>SUM(G25:J25)</f>
        <v>0</v>
      </c>
      <c r="L25" s="374"/>
      <c r="M25" s="476"/>
      <c r="N25" s="476"/>
      <c r="O25"/>
      <c r="P25"/>
      <c r="Q25"/>
      <c r="R25"/>
    </row>
    <row r="26" spans="2:18" ht="14.25" customHeight="1" x14ac:dyDescent="0.2">
      <c r="C26" s="434" t="s">
        <v>315</v>
      </c>
      <c r="D26" s="151"/>
      <c r="E26" s="164"/>
      <c r="F26" s="204"/>
      <c r="G26" s="357">
        <v>0</v>
      </c>
      <c r="H26" s="357">
        <v>0</v>
      </c>
      <c r="I26" s="357">
        <v>0</v>
      </c>
      <c r="J26" s="357">
        <v>0</v>
      </c>
      <c r="K26" s="166">
        <f t="shared" ref="K26:K35" si="0">SUM(G26:J26)</f>
        <v>0</v>
      </c>
      <c r="L26" s="374"/>
      <c r="M26" s="476"/>
      <c r="N26" s="476"/>
      <c r="O26"/>
      <c r="P26"/>
      <c r="Q26"/>
      <c r="R26"/>
    </row>
    <row r="27" spans="2:18" ht="14.25" customHeight="1" x14ac:dyDescent="0.2">
      <c r="C27" s="434" t="s">
        <v>316</v>
      </c>
      <c r="D27" s="151"/>
      <c r="E27" s="164"/>
      <c r="F27" s="204"/>
      <c r="G27" s="357">
        <v>0</v>
      </c>
      <c r="H27" s="357">
        <v>0</v>
      </c>
      <c r="I27" s="357">
        <v>0</v>
      </c>
      <c r="J27" s="357">
        <v>0</v>
      </c>
      <c r="K27" s="166">
        <f t="shared" si="0"/>
        <v>0</v>
      </c>
      <c r="L27" s="374"/>
      <c r="M27" s="476"/>
      <c r="N27" s="476"/>
      <c r="O27"/>
      <c r="P27"/>
      <c r="Q27"/>
      <c r="R27"/>
    </row>
    <row r="28" spans="2:18" ht="14.25" customHeight="1" x14ac:dyDescent="0.2">
      <c r="C28" s="434" t="s">
        <v>317</v>
      </c>
      <c r="D28" s="151"/>
      <c r="E28" s="164"/>
      <c r="F28" s="204"/>
      <c r="G28" s="357">
        <v>0</v>
      </c>
      <c r="H28" s="357">
        <v>0</v>
      </c>
      <c r="I28" s="357">
        <v>0</v>
      </c>
      <c r="J28" s="357">
        <v>0</v>
      </c>
      <c r="K28" s="166">
        <f t="shared" si="0"/>
        <v>0</v>
      </c>
      <c r="L28" s="374"/>
      <c r="M28" s="476"/>
      <c r="N28" s="476"/>
      <c r="O28"/>
      <c r="P28"/>
      <c r="Q28"/>
      <c r="R28"/>
    </row>
    <row r="29" spans="2:18" ht="14.25" customHeight="1" x14ac:dyDescent="0.2">
      <c r="C29" s="434" t="s">
        <v>318</v>
      </c>
      <c r="D29" s="151"/>
      <c r="E29" s="164"/>
      <c r="F29" s="204"/>
      <c r="G29" s="357">
        <v>0</v>
      </c>
      <c r="H29" s="357">
        <v>0</v>
      </c>
      <c r="I29" s="357">
        <v>0</v>
      </c>
      <c r="J29" s="357">
        <v>0</v>
      </c>
      <c r="K29" s="166">
        <f t="shared" si="0"/>
        <v>0</v>
      </c>
      <c r="L29" s="374"/>
      <c r="M29" s="476"/>
      <c r="N29" s="476"/>
      <c r="O29"/>
      <c r="P29"/>
      <c r="Q29"/>
      <c r="R29"/>
    </row>
    <row r="30" spans="2:18" ht="14.25" customHeight="1" x14ac:dyDescent="0.2">
      <c r="C30" s="434" t="s">
        <v>319</v>
      </c>
      <c r="D30" s="151"/>
      <c r="E30" s="164"/>
      <c r="F30" s="204"/>
      <c r="G30" s="357">
        <v>0</v>
      </c>
      <c r="H30" s="357">
        <v>0</v>
      </c>
      <c r="I30" s="357">
        <v>0</v>
      </c>
      <c r="J30" s="357">
        <v>0</v>
      </c>
      <c r="K30" s="166">
        <f t="shared" si="0"/>
        <v>0</v>
      </c>
      <c r="L30" s="374"/>
      <c r="M30" s="476"/>
      <c r="N30" s="476"/>
      <c r="O30"/>
      <c r="P30"/>
      <c r="Q30"/>
      <c r="R30"/>
    </row>
    <row r="31" spans="2:18" ht="14.25" customHeight="1" x14ac:dyDescent="0.2">
      <c r="C31" s="434" t="s">
        <v>320</v>
      </c>
      <c r="D31" s="151"/>
      <c r="E31" s="164"/>
      <c r="F31" s="204"/>
      <c r="G31" s="357">
        <v>0</v>
      </c>
      <c r="H31" s="357">
        <v>0</v>
      </c>
      <c r="I31" s="357">
        <v>0</v>
      </c>
      <c r="J31" s="357">
        <v>0</v>
      </c>
      <c r="K31" s="166">
        <f t="shared" si="0"/>
        <v>0</v>
      </c>
      <c r="L31" s="374"/>
      <c r="M31" s="476"/>
      <c r="N31" s="476"/>
      <c r="O31"/>
      <c r="P31"/>
      <c r="Q31"/>
      <c r="R31"/>
    </row>
    <row r="32" spans="2:18" ht="14.25" customHeight="1" x14ac:dyDescent="0.2">
      <c r="C32" s="434" t="s">
        <v>321</v>
      </c>
      <c r="D32" s="151"/>
      <c r="E32" s="164"/>
      <c r="F32" s="204"/>
      <c r="G32" s="357">
        <v>0</v>
      </c>
      <c r="H32" s="357">
        <v>0</v>
      </c>
      <c r="I32" s="357">
        <v>0</v>
      </c>
      <c r="J32" s="357">
        <v>0</v>
      </c>
      <c r="K32" s="166">
        <f t="shared" si="0"/>
        <v>0</v>
      </c>
      <c r="L32" s="374"/>
      <c r="M32" s="476"/>
      <c r="N32" s="476"/>
      <c r="O32"/>
      <c r="P32"/>
      <c r="Q32"/>
      <c r="R32"/>
    </row>
    <row r="33" spans="2:18" ht="14.25" customHeight="1" x14ac:dyDescent="0.2">
      <c r="C33" s="434" t="s">
        <v>322</v>
      </c>
      <c r="D33" s="151"/>
      <c r="E33" s="164"/>
      <c r="F33" s="204"/>
      <c r="G33" s="357">
        <v>0</v>
      </c>
      <c r="H33" s="357">
        <v>0</v>
      </c>
      <c r="I33" s="357">
        <v>0</v>
      </c>
      <c r="J33" s="357">
        <v>0</v>
      </c>
      <c r="K33" s="166">
        <f t="shared" si="0"/>
        <v>0</v>
      </c>
      <c r="L33" s="374"/>
      <c r="M33" s="476"/>
      <c r="N33" s="476"/>
      <c r="O33"/>
      <c r="P33"/>
      <c r="Q33"/>
      <c r="R33"/>
    </row>
    <row r="34" spans="2:18" ht="14.25" customHeight="1" x14ac:dyDescent="0.2">
      <c r="C34" s="434" t="s">
        <v>323</v>
      </c>
      <c r="D34" s="151"/>
      <c r="E34" s="164"/>
      <c r="F34" s="204"/>
      <c r="G34" s="357">
        <v>0</v>
      </c>
      <c r="H34" s="357">
        <v>0</v>
      </c>
      <c r="I34" s="357">
        <v>0</v>
      </c>
      <c r="J34" s="357">
        <v>0</v>
      </c>
      <c r="K34" s="166">
        <f t="shared" si="0"/>
        <v>0</v>
      </c>
      <c r="L34" s="374"/>
      <c r="M34" s="476"/>
      <c r="N34" s="476"/>
      <c r="O34"/>
      <c r="P34"/>
      <c r="Q34"/>
      <c r="R34"/>
    </row>
    <row r="35" spans="2:18" ht="14.25" customHeight="1" x14ac:dyDescent="0.2">
      <c r="C35" s="434" t="s">
        <v>324</v>
      </c>
      <c r="D35" s="151"/>
      <c r="E35" s="164"/>
      <c r="F35" s="204"/>
      <c r="G35" s="357">
        <v>0</v>
      </c>
      <c r="H35" s="357">
        <v>0</v>
      </c>
      <c r="I35" s="357">
        <v>0</v>
      </c>
      <c r="J35" s="357">
        <v>0</v>
      </c>
      <c r="K35" s="166">
        <f t="shared" si="0"/>
        <v>0</v>
      </c>
      <c r="L35" s="374"/>
      <c r="M35" s="476"/>
      <c r="N35" s="476"/>
      <c r="O35"/>
      <c r="P35"/>
      <c r="Q35"/>
      <c r="R35"/>
    </row>
    <row r="36" spans="2:18" ht="14.25" customHeight="1" x14ac:dyDescent="0.2">
      <c r="C36" s="206" t="s">
        <v>1</v>
      </c>
      <c r="D36" s="193"/>
      <c r="E36" s="193"/>
      <c r="F36" s="191"/>
      <c r="G36" s="196">
        <f>SUM(G25:G35)</f>
        <v>0</v>
      </c>
      <c r="H36" s="197">
        <f>SUM(H25:H35)</f>
        <v>0</v>
      </c>
      <c r="I36" s="197">
        <f>SUM(I25:I35)</f>
        <v>0</v>
      </c>
      <c r="J36" s="335">
        <f>SUM(J25:J35)</f>
        <v>0</v>
      </c>
      <c r="K36" s="207">
        <f>SUM(K25:K35)</f>
        <v>0</v>
      </c>
      <c r="L36" s="462"/>
      <c r="M36" s="477"/>
      <c r="N36" s="478"/>
      <c r="O36"/>
      <c r="P36"/>
      <c r="Q36"/>
      <c r="R36"/>
    </row>
    <row r="37" spans="2:18" ht="14.25" customHeight="1" x14ac:dyDescent="0.25">
      <c r="C37" s="208" t="s">
        <v>57</v>
      </c>
      <c r="D37" s="208"/>
      <c r="E37" s="208"/>
      <c r="F37" s="210"/>
      <c r="G37" s="375" t="e">
        <f>((G25*0.5)+(G26*1.5)+(G27*2.5)+(G28*3.5)+(G29*4.5)+(G30*5.5)+(G31*6.5)+(G32*7.5))/G36</f>
        <v>#DIV/0!</v>
      </c>
      <c r="H37" s="461" t="e">
        <f>((H25*0)+(H26*1)+(H27*2)+(H28*3)+(H29*4)+(H30*5)+(H31*6)+(H32*7)+(H33*8)+(H34*9)+(H35*10))/H36</f>
        <v>#DIV/0!</v>
      </c>
      <c r="I37" s="375" t="e">
        <f>((I25*0.5)+(I26*1.5)+(I27*2.5)+(I28*3.5)+(I29*4.5)+(I30*5.5)+(I31*6.5)+(I32*7.5))/I36</f>
        <v>#DIV/0!</v>
      </c>
      <c r="J37" s="461" t="e">
        <f>((J25*0)+(J26*1)+(J27*2)+(J28*3)+(J29*4)+(J30*5)+(J31*6)+(J32*7)+(J33*8)+(J34*9)+(J35*10))/J36</f>
        <v>#DIV/0!</v>
      </c>
      <c r="K37" s="461" t="e">
        <f>((K25*0)+(K26*1)+(K27*2)+(K28*3)+(K29*4)+(K30*5)+(K31*6)+(K32*7)+(K33*8)+(K34*9)+(K35*10))/K36</f>
        <v>#DIV/0!</v>
      </c>
      <c r="L37" s="119"/>
      <c r="M37" s="477"/>
      <c r="N37" s="479"/>
      <c r="O37"/>
      <c r="P37"/>
      <c r="Q37"/>
      <c r="R37"/>
    </row>
    <row r="38" spans="2:18" ht="14.25" customHeight="1" x14ac:dyDescent="0.2">
      <c r="J38" s="428"/>
      <c r="L38" s="119"/>
      <c r="M38" s="435"/>
      <c r="N38" s="477"/>
      <c r="O38"/>
      <c r="P38"/>
      <c r="Q38"/>
      <c r="R38"/>
    </row>
    <row r="39" spans="2:18" ht="14.25" customHeight="1" x14ac:dyDescent="0.2">
      <c r="J39" s="428"/>
      <c r="M39"/>
      <c r="N39"/>
      <c r="O39"/>
      <c r="P39"/>
      <c r="Q39"/>
      <c r="R39"/>
    </row>
    <row r="40" spans="2:18" ht="14.25" customHeight="1" x14ac:dyDescent="0.2">
      <c r="M40"/>
      <c r="N40"/>
      <c r="O40"/>
      <c r="P40"/>
      <c r="Q40"/>
      <c r="R40"/>
    </row>
    <row r="41" spans="2:18" ht="13.35" customHeight="1" x14ac:dyDescent="0.2">
      <c r="M41"/>
      <c r="N41"/>
      <c r="O41"/>
      <c r="P41"/>
      <c r="Q41"/>
      <c r="R41"/>
    </row>
    <row r="42" spans="2:18" ht="18" customHeight="1" x14ac:dyDescent="0.2">
      <c r="B42" s="2" t="s">
        <v>262</v>
      </c>
      <c r="C42" s="5"/>
      <c r="D42" s="5"/>
      <c r="E42" s="5"/>
      <c r="F42" s="5"/>
      <c r="G42" s="5"/>
      <c r="H42" s="5"/>
      <c r="I42" s="5"/>
      <c r="J42" s="5"/>
      <c r="K42" s="5"/>
      <c r="M42"/>
      <c r="N42"/>
      <c r="O42"/>
      <c r="P42"/>
      <c r="Q42"/>
      <c r="R42"/>
    </row>
    <row r="43" spans="2:18" ht="13.35" customHeight="1" x14ac:dyDescent="0.2">
      <c r="M43"/>
      <c r="N43"/>
      <c r="O43"/>
      <c r="P43"/>
      <c r="Q43"/>
      <c r="R43"/>
    </row>
    <row r="44" spans="2:18" ht="13.35" customHeight="1" x14ac:dyDescent="0.2">
      <c r="C44" s="544" t="s">
        <v>8</v>
      </c>
      <c r="D44" s="553"/>
      <c r="E44" s="553"/>
      <c r="F44" s="553"/>
      <c r="G44" s="554" t="s">
        <v>0</v>
      </c>
      <c r="H44" s="554"/>
      <c r="I44" s="554"/>
      <c r="J44" s="554"/>
      <c r="K44" s="555"/>
      <c r="M44"/>
      <c r="N44"/>
      <c r="O44"/>
      <c r="P44"/>
      <c r="Q44"/>
      <c r="R44"/>
    </row>
    <row r="45" spans="2:18" ht="13.35" customHeight="1" x14ac:dyDescent="0.2">
      <c r="C45" s="544"/>
      <c r="D45" s="553"/>
      <c r="E45" s="553"/>
      <c r="F45" s="553"/>
      <c r="G45" s="240" t="s">
        <v>2</v>
      </c>
      <c r="H45" s="240" t="s">
        <v>250</v>
      </c>
      <c r="I45" s="240" t="s">
        <v>249</v>
      </c>
      <c r="J45" s="240" t="s">
        <v>251</v>
      </c>
      <c r="K45" s="189" t="s">
        <v>44</v>
      </c>
      <c r="M45"/>
      <c r="N45"/>
      <c r="O45"/>
      <c r="P45"/>
      <c r="Q45"/>
      <c r="R45"/>
    </row>
    <row r="46" spans="2:18" ht="13.35" customHeight="1" x14ac:dyDescent="0.2">
      <c r="C46" s="37" t="s">
        <v>172</v>
      </c>
      <c r="D46" s="37"/>
      <c r="E46" s="37"/>
      <c r="F46" s="217"/>
      <c r="G46" s="155"/>
      <c r="H46" s="215"/>
      <c r="I46" s="23"/>
      <c r="J46" s="215"/>
      <c r="K46" s="23"/>
      <c r="M46"/>
      <c r="N46"/>
      <c r="O46"/>
      <c r="P46"/>
      <c r="Q46"/>
      <c r="R46"/>
    </row>
    <row r="47" spans="2:18" ht="13.35" customHeight="1" x14ac:dyDescent="0.2">
      <c r="C47" s="151" t="s">
        <v>58</v>
      </c>
      <c r="D47" s="164"/>
      <c r="E47" s="164"/>
      <c r="F47" s="204" t="s">
        <v>181</v>
      </c>
      <c r="G47" s="358">
        <v>0</v>
      </c>
      <c r="H47" s="359">
        <v>0</v>
      </c>
      <c r="I47" s="359">
        <v>0</v>
      </c>
      <c r="J47" s="531">
        <v>0</v>
      </c>
      <c r="K47" s="454">
        <f>+G47+H47+I47+J47</f>
        <v>0</v>
      </c>
      <c r="M47"/>
      <c r="N47"/>
      <c r="O47"/>
      <c r="P47"/>
      <c r="Q47"/>
      <c r="R47"/>
    </row>
    <row r="48" spans="2:18" ht="13.35" customHeight="1" x14ac:dyDescent="0.2">
      <c r="C48" s="172" t="s">
        <v>59</v>
      </c>
      <c r="D48" s="192"/>
      <c r="E48" s="192"/>
      <c r="F48" s="204" t="s">
        <v>181</v>
      </c>
      <c r="G48" s="361">
        <v>0</v>
      </c>
      <c r="H48" s="359">
        <v>0</v>
      </c>
      <c r="I48" s="359">
        <f>+I47*0.04</f>
        <v>0</v>
      </c>
      <c r="J48" s="359">
        <v>0</v>
      </c>
      <c r="K48" s="453">
        <f>+H48+J48</f>
        <v>0</v>
      </c>
      <c r="L48" s="417"/>
      <c r="M48"/>
      <c r="N48"/>
      <c r="O48"/>
      <c r="P48"/>
      <c r="Q48"/>
      <c r="R48"/>
    </row>
    <row r="49" spans="3:18" ht="13.35" customHeight="1" x14ac:dyDescent="0.2">
      <c r="C49" s="172"/>
      <c r="D49" s="192"/>
      <c r="E49" s="192"/>
      <c r="F49" s="204"/>
      <c r="G49" s="361"/>
      <c r="H49" s="359"/>
      <c r="I49" s="359"/>
      <c r="J49" s="360"/>
      <c r="K49" s="362"/>
      <c r="M49"/>
      <c r="N49"/>
      <c r="O49"/>
      <c r="P49"/>
      <c r="Q49"/>
      <c r="R49"/>
    </row>
    <row r="50" spans="3:18" ht="13.35" customHeight="1" x14ac:dyDescent="0.2">
      <c r="C50" s="193" t="s">
        <v>1</v>
      </c>
      <c r="D50" s="193"/>
      <c r="E50" s="193"/>
      <c r="F50" s="218" t="s">
        <v>181</v>
      </c>
      <c r="G50" s="363">
        <f>SUM(G47:G48)</f>
        <v>0</v>
      </c>
      <c r="H50" s="364">
        <f>SUM(H47:H48)</f>
        <v>0</v>
      </c>
      <c r="I50" s="364">
        <f>SUM(I47:I48)</f>
        <v>0</v>
      </c>
      <c r="J50" s="430">
        <f>+J47+J48</f>
        <v>0</v>
      </c>
      <c r="K50" s="363">
        <f>SUM(K47:K48)</f>
        <v>0</v>
      </c>
      <c r="M50"/>
      <c r="N50"/>
      <c r="O50"/>
      <c r="P50"/>
      <c r="Q50"/>
      <c r="R50"/>
    </row>
    <row r="51" spans="3:18" ht="13.35" customHeight="1" x14ac:dyDescent="0.2">
      <c r="G51" s="382"/>
      <c r="J51" s="44"/>
      <c r="M51"/>
      <c r="N51"/>
      <c r="O51"/>
      <c r="P51"/>
      <c r="Q51"/>
      <c r="R51"/>
    </row>
    <row r="52" spans="3:18" ht="13.35" customHeight="1" x14ac:dyDescent="0.25">
      <c r="H52" s="44"/>
      <c r="I52" s="442"/>
      <c r="J52" s="530"/>
      <c r="K52" s="532"/>
      <c r="L52" s="119"/>
      <c r="M52" s="435"/>
      <c r="N52"/>
      <c r="O52"/>
      <c r="P52"/>
      <c r="Q52"/>
      <c r="R52"/>
    </row>
    <row r="53" spans="3:18" ht="13.35" customHeight="1" x14ac:dyDescent="0.2">
      <c r="H53" s="74"/>
      <c r="I53" s="444"/>
      <c r="J53" s="443"/>
      <c r="K53" s="332"/>
      <c r="L53" s="119"/>
      <c r="M53" s="435"/>
      <c r="N53"/>
      <c r="O53"/>
      <c r="P53"/>
      <c r="Q53"/>
      <c r="R53"/>
    </row>
    <row r="54" spans="3:18" ht="13.35" customHeight="1" x14ac:dyDescent="0.2">
      <c r="H54" s="415"/>
      <c r="I54" s="445"/>
      <c r="J54" s="452"/>
      <c r="K54" s="436"/>
      <c r="L54" s="119"/>
      <c r="M54" s="435"/>
      <c r="N54"/>
      <c r="O54"/>
      <c r="P54"/>
      <c r="Q54"/>
      <c r="R54"/>
    </row>
    <row r="55" spans="3:18" ht="18" customHeight="1" x14ac:dyDescent="0.2">
      <c r="C55" s="2" t="s">
        <v>217</v>
      </c>
      <c r="D55" s="5"/>
      <c r="E55" s="5"/>
      <c r="F55" s="5"/>
      <c r="G55" s="5"/>
      <c r="H55" s="533"/>
      <c r="I55" s="328"/>
      <c r="J55" s="411"/>
      <c r="K55" s="388"/>
      <c r="M55"/>
      <c r="N55"/>
      <c r="O55"/>
      <c r="P55"/>
      <c r="Q55"/>
      <c r="R55"/>
    </row>
    <row r="56" spans="3:18" ht="13.35" customHeight="1" x14ac:dyDescent="0.2">
      <c r="M56" s="424"/>
      <c r="N56"/>
      <c r="O56"/>
      <c r="P56"/>
      <c r="Q56"/>
      <c r="R56"/>
    </row>
    <row r="57" spans="3:18" ht="13.35" customHeight="1" x14ac:dyDescent="0.2">
      <c r="C57" s="544" t="s">
        <v>8</v>
      </c>
      <c r="D57" s="553"/>
      <c r="E57" s="553"/>
      <c r="F57" s="553"/>
      <c r="G57" s="554" t="s">
        <v>0</v>
      </c>
      <c r="H57" s="554"/>
      <c r="I57" s="554"/>
      <c r="J57" s="554"/>
      <c r="K57" s="555"/>
      <c r="M57"/>
      <c r="N57"/>
      <c r="O57"/>
      <c r="P57"/>
      <c r="Q57"/>
      <c r="R57"/>
    </row>
    <row r="58" spans="3:18" ht="13.35" customHeight="1" x14ac:dyDescent="0.2">
      <c r="C58" s="544"/>
      <c r="D58" s="553"/>
      <c r="E58" s="553"/>
      <c r="F58" s="553"/>
      <c r="G58" s="240" t="s">
        <v>2</v>
      </c>
      <c r="H58" s="240" t="s">
        <v>250</v>
      </c>
      <c r="I58" s="240" t="s">
        <v>249</v>
      </c>
      <c r="J58" s="240" t="s">
        <v>251</v>
      </c>
      <c r="K58" s="189" t="s">
        <v>44</v>
      </c>
      <c r="M58"/>
      <c r="N58"/>
      <c r="O58"/>
      <c r="P58"/>
      <c r="Q58"/>
      <c r="R58"/>
    </row>
    <row r="59" spans="3:18" ht="13.35" customHeight="1" x14ac:dyDescent="0.2">
      <c r="C59" s="391" t="s">
        <v>60</v>
      </c>
      <c r="D59" s="193"/>
      <c r="E59" s="193"/>
      <c r="F59" s="219" t="s">
        <v>181</v>
      </c>
      <c r="G59" s="220" t="e">
        <f>+G50/G11</f>
        <v>#DIV/0!</v>
      </c>
      <c r="H59" s="221" t="e">
        <f>+H50/H11</f>
        <v>#DIV/0!</v>
      </c>
      <c r="I59" s="221" t="e">
        <f>+I50/I11</f>
        <v>#DIV/0!</v>
      </c>
      <c r="J59" s="449">
        <f>IF('Dados Operacionais'!J11=0,0,(J50/'Dados Operacionais'!J11))</f>
        <v>0</v>
      </c>
      <c r="K59" s="448">
        <f>IF('Dados Operacionais'!K11=0,0,(K50/'Dados Operacionais'!K11))</f>
        <v>0</v>
      </c>
      <c r="M59"/>
      <c r="N59"/>
      <c r="O59"/>
      <c r="P59"/>
      <c r="Q59"/>
      <c r="R59"/>
    </row>
    <row r="60" spans="3:18" ht="13.35" customHeight="1" x14ac:dyDescent="0.2">
      <c r="M60"/>
      <c r="N60"/>
      <c r="O60"/>
      <c r="P60"/>
      <c r="Q60"/>
      <c r="R60"/>
    </row>
    <row r="61" spans="3:18" ht="13.35" customHeight="1" x14ac:dyDescent="0.2">
      <c r="M61"/>
      <c r="N61"/>
      <c r="O61"/>
      <c r="P61"/>
      <c r="Q61"/>
      <c r="R61"/>
    </row>
    <row r="62" spans="3:18" ht="13.35" customHeight="1" x14ac:dyDescent="0.2">
      <c r="J62" s="420"/>
      <c r="M62"/>
      <c r="N62"/>
      <c r="O62"/>
      <c r="P62"/>
      <c r="Q62"/>
      <c r="R62"/>
    </row>
    <row r="63" spans="3:18" ht="13.35" customHeight="1" x14ac:dyDescent="0.2">
      <c r="J63" s="415"/>
      <c r="M63"/>
      <c r="N63"/>
      <c r="O63"/>
      <c r="P63"/>
      <c r="Q63"/>
      <c r="R63"/>
    </row>
    <row r="64" spans="3:18" ht="13.35" customHeight="1" x14ac:dyDescent="0.2">
      <c r="M64"/>
      <c r="N64"/>
      <c r="O64"/>
      <c r="P64"/>
      <c r="Q64"/>
      <c r="R64"/>
    </row>
    <row r="65" spans="2:18" ht="18" customHeight="1" x14ac:dyDescent="0.2">
      <c r="B65" s="2" t="s">
        <v>263</v>
      </c>
      <c r="C65" s="5"/>
      <c r="D65" s="5"/>
      <c r="E65" s="5"/>
      <c r="F65" s="5"/>
      <c r="G65" s="5"/>
      <c r="H65" s="5"/>
      <c r="I65" s="67"/>
      <c r="J65" s="5"/>
      <c r="K65" s="5"/>
      <c r="M65"/>
      <c r="N65"/>
      <c r="O65"/>
      <c r="P65"/>
      <c r="Q65"/>
      <c r="R65"/>
    </row>
    <row r="66" spans="2:18" ht="13.35" customHeight="1" x14ac:dyDescent="0.2">
      <c r="M66"/>
      <c r="N66"/>
      <c r="O66"/>
      <c r="P66"/>
      <c r="Q66"/>
      <c r="R66"/>
    </row>
    <row r="67" spans="2:18" ht="13.35" customHeight="1" x14ac:dyDescent="0.2">
      <c r="C67" s="544" t="s">
        <v>8</v>
      </c>
      <c r="D67" s="553"/>
      <c r="E67" s="553"/>
      <c r="F67" s="553"/>
      <c r="G67" s="553"/>
      <c r="H67" s="554" t="s">
        <v>0</v>
      </c>
      <c r="I67" s="554"/>
      <c r="J67" s="554"/>
      <c r="K67" s="555"/>
      <c r="M67"/>
      <c r="N67"/>
      <c r="O67"/>
      <c r="P67"/>
      <c r="Q67"/>
      <c r="R67"/>
    </row>
    <row r="68" spans="2:18" ht="13.35" customHeight="1" x14ac:dyDescent="0.2">
      <c r="C68" s="544"/>
      <c r="D68" s="553"/>
      <c r="E68" s="553"/>
      <c r="F68" s="553"/>
      <c r="G68" s="553"/>
      <c r="H68" s="240" t="s">
        <v>250</v>
      </c>
      <c r="I68" s="501" t="s">
        <v>249</v>
      </c>
      <c r="J68" s="188" t="str">
        <f>+J58</f>
        <v>Básico</v>
      </c>
      <c r="K68" s="189" t="s">
        <v>44</v>
      </c>
      <c r="M68"/>
      <c r="N68"/>
      <c r="O68"/>
      <c r="P68"/>
      <c r="Q68"/>
      <c r="R68"/>
    </row>
    <row r="69" spans="2:18" ht="13.35" customHeight="1" x14ac:dyDescent="0.2">
      <c r="D69" s="37"/>
      <c r="E69" s="37"/>
      <c r="F69" s="38"/>
      <c r="G69" s="224"/>
      <c r="H69" s="214"/>
      <c r="I69" s="39"/>
      <c r="J69" s="214"/>
      <c r="K69" s="23"/>
      <c r="M69" s="305"/>
    </row>
    <row r="70" spans="2:18" ht="13.35" customHeight="1" x14ac:dyDescent="0.2">
      <c r="C70" s="190" t="s">
        <v>61</v>
      </c>
      <c r="D70" s="172"/>
      <c r="E70" s="192"/>
      <c r="F70" s="192"/>
      <c r="G70" s="225"/>
      <c r="H70" s="365">
        <v>0</v>
      </c>
      <c r="I70" s="366">
        <v>0</v>
      </c>
      <c r="J70" s="365">
        <v>0</v>
      </c>
      <c r="K70" s="367">
        <v>0</v>
      </c>
      <c r="M70" s="44"/>
    </row>
    <row r="71" spans="2:18" ht="13.35" customHeight="1" x14ac:dyDescent="0.2">
      <c r="C71" s="177"/>
      <c r="D71" s="172"/>
      <c r="E71" s="192"/>
      <c r="F71" s="192"/>
      <c r="G71" s="225"/>
      <c r="H71" s="365"/>
      <c r="I71" s="366"/>
      <c r="J71" s="365"/>
      <c r="K71" s="367"/>
      <c r="N71" s="305"/>
    </row>
    <row r="72" spans="2:18" ht="13.35" customHeight="1" x14ac:dyDescent="0.2">
      <c r="C72" s="172" t="s">
        <v>173</v>
      </c>
      <c r="D72" s="172"/>
      <c r="E72" s="172"/>
      <c r="F72" s="192"/>
      <c r="G72" s="225"/>
      <c r="H72" s="368">
        <v>0</v>
      </c>
      <c r="I72" s="369">
        <v>0</v>
      </c>
      <c r="J72" s="368">
        <v>0</v>
      </c>
      <c r="K72" s="419">
        <v>0</v>
      </c>
      <c r="M72" s="68"/>
      <c r="N72" s="467"/>
    </row>
    <row r="73" spans="2:18" ht="13.35" customHeight="1" x14ac:dyDescent="0.2">
      <c r="C73" s="172"/>
      <c r="D73" s="172"/>
      <c r="E73" s="172"/>
      <c r="F73" s="192"/>
      <c r="G73" s="225"/>
      <c r="H73" s="368"/>
      <c r="I73" s="369"/>
      <c r="J73" s="368"/>
      <c r="K73" s="370"/>
      <c r="N73" s="467"/>
    </row>
    <row r="74" spans="2:18" ht="13.35" customHeight="1" x14ac:dyDescent="0.2">
      <c r="C74" s="228" t="s">
        <v>62</v>
      </c>
      <c r="D74" s="201"/>
      <c r="E74" s="202"/>
      <c r="F74" s="202"/>
      <c r="G74" s="226"/>
      <c r="H74" s="371">
        <f>H70</f>
        <v>0</v>
      </c>
      <c r="I74" s="372">
        <f>+I70</f>
        <v>0</v>
      </c>
      <c r="J74" s="371">
        <v>0</v>
      </c>
      <c r="K74" s="373">
        <v>0</v>
      </c>
      <c r="M74" s="68"/>
      <c r="N74" s="467"/>
    </row>
    <row r="75" spans="2:18" ht="13.35" customHeight="1" x14ac:dyDescent="0.2">
      <c r="B75" s="455"/>
      <c r="C75" s="190"/>
      <c r="D75" s="172"/>
      <c r="E75" s="192"/>
      <c r="F75" s="192"/>
      <c r="G75" s="119"/>
      <c r="H75" s="234"/>
      <c r="I75" s="234"/>
      <c r="J75" s="344"/>
      <c r="K75" s="233"/>
      <c r="N75" s="467"/>
    </row>
    <row r="76" spans="2:18" ht="13.35" customHeight="1" x14ac:dyDescent="0.2">
      <c r="C76" s="28"/>
      <c r="D76" s="28"/>
      <c r="E76" s="28"/>
      <c r="F76" s="28"/>
      <c r="G76" s="40"/>
      <c r="H76" s="108"/>
      <c r="I76" s="80"/>
      <c r="J76" s="44"/>
      <c r="K76" s="510"/>
      <c r="N76" s="467"/>
    </row>
    <row r="77" spans="2:18" ht="13.35" customHeight="1" x14ac:dyDescent="0.2">
      <c r="C77" s="28"/>
      <c r="D77" s="43"/>
      <c r="E77" s="43"/>
      <c r="F77" s="43"/>
      <c r="G77" s="41"/>
      <c r="H77" s="440"/>
      <c r="I77" s="421"/>
      <c r="J77" s="425"/>
      <c r="K77" s="510"/>
      <c r="M77" s="74"/>
      <c r="N77" s="467"/>
    </row>
    <row r="78" spans="2:18" ht="13.35" customHeight="1" x14ac:dyDescent="0.2">
      <c r="C78" s="28"/>
      <c r="D78" s="43"/>
      <c r="E78" s="43"/>
      <c r="F78" s="43"/>
      <c r="G78" s="41"/>
      <c r="H78" s="41"/>
      <c r="I78" s="412"/>
      <c r="J78" s="426"/>
      <c r="K78" s="510"/>
      <c r="N78" s="467"/>
    </row>
    <row r="79" spans="2:18" ht="18" customHeight="1" x14ac:dyDescent="0.2">
      <c r="B79" s="2" t="s">
        <v>207</v>
      </c>
      <c r="C79" s="5"/>
      <c r="D79" s="5"/>
      <c r="E79" s="5"/>
      <c r="F79" s="5"/>
      <c r="G79" s="5"/>
      <c r="H79" s="5"/>
      <c r="I79" s="411"/>
      <c r="J79" s="427"/>
      <c r="K79" s="388"/>
      <c r="M79" s="508"/>
      <c r="N79" s="467"/>
    </row>
    <row r="80" spans="2:18" ht="13.35" customHeight="1" x14ac:dyDescent="0.2">
      <c r="C80" s="1"/>
      <c r="D80" s="45"/>
      <c r="E80" s="45"/>
      <c r="F80" s="45"/>
      <c r="G80" s="45"/>
      <c r="H80" s="45"/>
      <c r="I80" s="45"/>
      <c r="J80" s="45"/>
      <c r="K80" s="45"/>
      <c r="N80" s="467"/>
    </row>
    <row r="81" spans="3:13" ht="15" customHeight="1" x14ac:dyDescent="0.2">
      <c r="C81" s="543" t="s">
        <v>8</v>
      </c>
      <c r="D81" s="543"/>
      <c r="E81" s="543"/>
      <c r="F81" s="543"/>
      <c r="G81" s="543"/>
      <c r="H81" s="543"/>
      <c r="I81" s="543"/>
      <c r="J81" s="544"/>
      <c r="K81" s="187" t="s">
        <v>24</v>
      </c>
    </row>
    <row r="82" spans="3:13" ht="13.35" customHeight="1" x14ac:dyDescent="0.2">
      <c r="C82" s="37" t="s">
        <v>63</v>
      </c>
      <c r="D82" s="151"/>
      <c r="E82" s="164"/>
      <c r="F82" s="164"/>
      <c r="G82" s="234"/>
      <c r="I82" s="234"/>
      <c r="J82" s="235"/>
      <c r="K82" s="389" t="e">
        <f>K70/K50</f>
        <v>#DIV/0!</v>
      </c>
    </row>
    <row r="83" spans="3:13" ht="13.35" customHeight="1" x14ac:dyDescent="0.2">
      <c r="C83" s="151"/>
      <c r="D83" s="151"/>
      <c r="E83" s="164"/>
      <c r="F83" s="164"/>
      <c r="G83" s="234"/>
      <c r="I83" s="234"/>
      <c r="J83" s="235"/>
      <c r="K83" s="230"/>
    </row>
    <row r="84" spans="3:13" ht="13.35" customHeight="1" x14ac:dyDescent="0.2">
      <c r="C84" s="190" t="s">
        <v>64</v>
      </c>
      <c r="D84" s="190"/>
      <c r="E84" s="190"/>
      <c r="F84" s="190"/>
      <c r="G84" s="190"/>
      <c r="I84" s="236"/>
      <c r="J84" s="236"/>
      <c r="K84" s="389" t="e">
        <f>K74/K50</f>
        <v>#DIV/0!</v>
      </c>
      <c r="M84" s="74"/>
    </row>
    <row r="85" spans="3:13" ht="13.35" customHeight="1" x14ac:dyDescent="0.2">
      <c r="C85" s="190"/>
      <c r="D85" s="190"/>
      <c r="E85" s="190"/>
      <c r="F85" s="190"/>
      <c r="G85" s="190"/>
      <c r="I85" s="236"/>
      <c r="J85" s="236"/>
      <c r="K85" s="231"/>
    </row>
    <row r="86" spans="3:13" ht="13.35" customHeight="1" x14ac:dyDescent="0.2">
      <c r="C86" s="228" t="s">
        <v>206</v>
      </c>
      <c r="D86" s="201"/>
      <c r="E86" s="202"/>
      <c r="F86" s="202"/>
      <c r="G86" s="223"/>
      <c r="H86" s="222"/>
      <c r="I86" s="223"/>
      <c r="J86" s="229"/>
      <c r="K86" s="232" t="e">
        <f>+K74/K11/30</f>
        <v>#DIV/0!</v>
      </c>
    </row>
    <row r="87" spans="3:13" ht="13.35" customHeight="1" x14ac:dyDescent="0.2">
      <c r="C87" s="186"/>
    </row>
  </sheetData>
  <mergeCells count="11">
    <mergeCell ref="C8:F9"/>
    <mergeCell ref="G8:K8"/>
    <mergeCell ref="C22:F23"/>
    <mergeCell ref="G22:K22"/>
    <mergeCell ref="C81:J81"/>
    <mergeCell ref="C44:F45"/>
    <mergeCell ref="G44:K44"/>
    <mergeCell ref="C57:F58"/>
    <mergeCell ref="G57:K57"/>
    <mergeCell ref="H67:K67"/>
    <mergeCell ref="C67:G68"/>
  </mergeCells>
  <phoneticPr fontId="0" type="noConversion"/>
  <printOptions horizontalCentered="1"/>
  <pageMargins left="0.39370078740157483" right="0" top="0.59055118110236227" bottom="0.59055118110236227" header="0.59055118110236227" footer="0.51181102362204722"/>
  <pageSetup paperSize="9" scale="64" orientation="portrait" horizontalDpi="4294967295" verticalDpi="4294967295" r:id="rId1"/>
  <headerFooter alignWithMargins="0"/>
  <rowBreaks count="1" manualBreakCount="1">
    <brk id="6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L74"/>
  <sheetViews>
    <sheetView showGridLines="0" zoomScale="90" workbookViewId="0">
      <selection activeCell="B2" sqref="B2"/>
    </sheetView>
  </sheetViews>
  <sheetFormatPr defaultColWidth="9.140625" defaultRowHeight="13.35" customHeight="1" x14ac:dyDescent="0.2"/>
  <cols>
    <col min="1" max="1" width="0.85546875" style="3" customWidth="1"/>
    <col min="2" max="2" width="1.85546875" style="3" customWidth="1"/>
    <col min="3" max="3" width="12.42578125" style="3" customWidth="1"/>
    <col min="4" max="7" width="12.140625" style="3" customWidth="1"/>
    <col min="8" max="8" width="15.140625" style="46" customWidth="1"/>
    <col min="9" max="10" width="11.85546875" style="3" customWidth="1"/>
    <col min="11" max="11" width="9.85546875" style="3" bestFit="1" customWidth="1"/>
    <col min="12" max="16384" width="9.140625" style="3"/>
  </cols>
  <sheetData>
    <row r="1" spans="1:10" ht="18" customHeight="1" x14ac:dyDescent="0.2"/>
    <row r="2" spans="1:10" ht="18" customHeight="1" x14ac:dyDescent="0.25">
      <c r="A2" s="48" t="s">
        <v>183</v>
      </c>
      <c r="B2" s="5"/>
      <c r="C2" s="5"/>
      <c r="D2" s="5"/>
      <c r="E2" s="5"/>
      <c r="F2" s="5"/>
      <c r="G2" s="5"/>
      <c r="H2" s="49"/>
      <c r="I2" s="5"/>
      <c r="J2" s="5"/>
    </row>
    <row r="3" spans="1:10" ht="15.75" customHeight="1" x14ac:dyDescent="0.2">
      <c r="B3" s="50"/>
      <c r="C3" s="45"/>
      <c r="D3" s="45"/>
      <c r="E3" s="45"/>
      <c r="F3" s="45"/>
      <c r="G3" s="45"/>
      <c r="H3" s="51"/>
      <c r="I3" s="45"/>
      <c r="J3" s="45"/>
    </row>
    <row r="4" spans="1:10" ht="15.75" customHeight="1" x14ac:dyDescent="0.2">
      <c r="B4" s="2" t="s">
        <v>184</v>
      </c>
      <c r="C4" s="5"/>
      <c r="D4" s="5"/>
      <c r="E4" s="5"/>
      <c r="F4" s="5"/>
      <c r="G4" s="5"/>
      <c r="H4" s="49"/>
      <c r="I4" s="5"/>
      <c r="J4" s="5"/>
    </row>
    <row r="5" spans="1:10" ht="15.75" customHeight="1" x14ac:dyDescent="0.2"/>
    <row r="6" spans="1:10" ht="15.75" customHeight="1" x14ac:dyDescent="0.2">
      <c r="C6" s="559" t="s">
        <v>0</v>
      </c>
      <c r="D6" s="560"/>
      <c r="E6" s="560"/>
      <c r="F6" s="560"/>
      <c r="G6" s="561"/>
      <c r="H6" s="248" t="s">
        <v>65</v>
      </c>
      <c r="I6" s="249" t="s">
        <v>66</v>
      </c>
      <c r="J6" s="263" t="s">
        <v>67</v>
      </c>
    </row>
    <row r="7" spans="1:10" ht="15.75" customHeight="1" x14ac:dyDescent="0.2">
      <c r="C7" s="52" t="s">
        <v>2</v>
      </c>
      <c r="E7" s="53"/>
      <c r="H7" s="273">
        <f>'Dados Gerais'!$I$22*'Dados Gerais'!$H$57*'Dados Operacionais'!$G$50</f>
        <v>0</v>
      </c>
      <c r="I7" s="272">
        <f>IF('Dados Operacionais'!$G$50=0,0,(H7/'Dados Operacionais'!$G$50))</f>
        <v>0</v>
      </c>
      <c r="J7" s="54">
        <v>0</v>
      </c>
    </row>
    <row r="8" spans="1:10" ht="15.75" customHeight="1" x14ac:dyDescent="0.2">
      <c r="C8" s="52" t="s">
        <v>250</v>
      </c>
      <c r="E8" s="53"/>
      <c r="H8" s="273">
        <f>'Dados Gerais'!$I$22*'Dados Gerais'!$I$57*'Dados Operacionais'!$H$50</f>
        <v>0</v>
      </c>
      <c r="I8" s="272">
        <f>IF('Dados Operacionais'!$H$50=0,0,(H8/'Dados Operacionais'!$H$50))</f>
        <v>0</v>
      </c>
      <c r="J8" s="500">
        <f>IF(H8="-","-",IF('Dados Operacionais'!$K$14=0,0,(H8/'Dados Operacionais'!$H$14)))</f>
        <v>0</v>
      </c>
    </row>
    <row r="9" spans="1:10" ht="15.75" customHeight="1" x14ac:dyDescent="0.2">
      <c r="C9" s="52" t="s">
        <v>249</v>
      </c>
      <c r="E9" s="53"/>
      <c r="H9" s="273">
        <f>'Dados Gerais'!$I$22*'Dados Gerais'!$J$57*'Dados Operacionais'!$I$50</f>
        <v>0</v>
      </c>
      <c r="I9" s="272">
        <f>IF('Dados Operacionais'!$I$50=0,0,(H9/'Dados Operacionais'!$I$50))</f>
        <v>0</v>
      </c>
      <c r="J9" s="54">
        <v>0</v>
      </c>
    </row>
    <row r="10" spans="1:10" ht="15.75" customHeight="1" x14ac:dyDescent="0.2">
      <c r="C10" s="134" t="s">
        <v>251</v>
      </c>
      <c r="D10" s="119"/>
      <c r="E10" s="53"/>
      <c r="H10" s="390">
        <f>IF('Dados Gerais'!$K$57="-","-",'Dados Gerais'!$I$22*'Dados Gerais'!$K$57*'Dados Operacionais'!$J$50)</f>
        <v>0</v>
      </c>
      <c r="I10" s="272">
        <f>IF(H10="-","-",IF('Dados Operacionais'!$J$50=0,0,(H10/'Dados Operacionais'!$J$50)))</f>
        <v>0</v>
      </c>
      <c r="J10" s="252">
        <f>IF(H10="-","-",IF('Dados Operacionais'!$K$14=0,0,(H10/'Dados Operacionais'!$J$14)))</f>
        <v>0</v>
      </c>
    </row>
    <row r="11" spans="1:10" ht="15.75" customHeight="1" x14ac:dyDescent="0.2">
      <c r="C11" s="253" t="s">
        <v>68</v>
      </c>
      <c r="D11" s="253"/>
      <c r="E11" s="253"/>
      <c r="F11" s="254"/>
      <c r="G11" s="254"/>
      <c r="H11" s="256">
        <f>SUM(H7:H10)</f>
        <v>0</v>
      </c>
      <c r="I11" s="257">
        <f>IF('Dados Operacionais'!$K$50=0,0,('Custos Variáveis'!H11/'Dados Operacionais'!$K$50))</f>
        <v>0</v>
      </c>
      <c r="J11" s="255">
        <f>IF('Dados Operacionais'!$K$14=0,0,(H11/'Dados Operacionais'!$K$14))</f>
        <v>0</v>
      </c>
    </row>
    <row r="12" spans="1:10" ht="15.75" customHeight="1" x14ac:dyDescent="0.2"/>
    <row r="13" spans="1:10" ht="15.75" customHeight="1" x14ac:dyDescent="0.2">
      <c r="B13" s="2" t="s">
        <v>237</v>
      </c>
      <c r="C13" s="5"/>
      <c r="D13" s="5"/>
      <c r="E13" s="5"/>
      <c r="F13" s="5"/>
      <c r="G13" s="5"/>
      <c r="H13" s="49"/>
      <c r="I13" s="5"/>
      <c r="J13" s="5"/>
    </row>
    <row r="14" spans="1:10" ht="15.75" customHeight="1" x14ac:dyDescent="0.2"/>
    <row r="15" spans="1:10" ht="15.75" customHeight="1" x14ac:dyDescent="0.2">
      <c r="B15" s="56"/>
      <c r="C15" s="559" t="s">
        <v>0</v>
      </c>
      <c r="D15" s="560"/>
      <c r="E15" s="560"/>
      <c r="F15" s="560"/>
      <c r="G15" s="561"/>
      <c r="H15" s="248" t="s">
        <v>65</v>
      </c>
      <c r="I15" s="249" t="s">
        <v>66</v>
      </c>
      <c r="J15" s="263" t="s">
        <v>67</v>
      </c>
    </row>
    <row r="16" spans="1:10" ht="15.75" customHeight="1" x14ac:dyDescent="0.2">
      <c r="B16" s="56"/>
      <c r="C16" s="52" t="s">
        <v>2</v>
      </c>
      <c r="E16" s="53"/>
      <c r="H16" s="273">
        <v>0</v>
      </c>
      <c r="I16" s="272">
        <f>IF('Dados Operacionais'!$G$50=0,0,(H16/'Dados Operacionais'!$G$50))</f>
        <v>0</v>
      </c>
      <c r="J16" s="471">
        <f>IF('Dados Operacionais'!$G$14=0,0,(H16/'Dados Operacionais'!$G$14))</f>
        <v>0</v>
      </c>
    </row>
    <row r="17" spans="2:12" ht="15.75" customHeight="1" x14ac:dyDescent="0.2">
      <c r="B17" s="57"/>
      <c r="C17" s="52" t="s">
        <v>250</v>
      </c>
      <c r="E17" s="53"/>
      <c r="H17" s="273">
        <f>+'Dados Gerais'!$I$60*'Dados Gerais'!$I$22*'Dados Operacionais'!H50</f>
        <v>0</v>
      </c>
      <c r="I17" s="272">
        <f>IF('Dados Operacionais'!$H$50=0,0,(H17/'Dados Operacionais'!$H$50))</f>
        <v>0</v>
      </c>
      <c r="J17" s="471">
        <f>IF('Dados Operacionais'!$H$14=0,0,(H17/'Dados Operacionais'!$H$14))</f>
        <v>0</v>
      </c>
    </row>
    <row r="18" spans="2:12" ht="15.75" customHeight="1" x14ac:dyDescent="0.2">
      <c r="B18" s="58"/>
      <c r="C18" s="52" t="s">
        <v>249</v>
      </c>
      <c r="E18" s="53"/>
      <c r="H18" s="273">
        <f>+'Dados Gerais'!$J$101*'Dados Gerais'!$I$22*I2*'Dados Operacionais'!I41</f>
        <v>0</v>
      </c>
      <c r="I18" s="272">
        <f>IF(H18="-","-",IF('Dados Operacionais'!$I$50=0,0,(H18/'Dados Operacionais'!$I$50)))</f>
        <v>0</v>
      </c>
      <c r="J18" s="471">
        <f>IF(H18="-","-",IF('Dados Operacionais'!$I$14=0,0,(H18/'Dados Operacionais'!$I$14)))</f>
        <v>0</v>
      </c>
    </row>
    <row r="19" spans="2:12" ht="15.75" customHeight="1" x14ac:dyDescent="0.2">
      <c r="C19" s="134" t="s">
        <v>251</v>
      </c>
      <c r="D19" s="119"/>
      <c r="E19" s="53"/>
      <c r="H19" s="273">
        <f>+'Dados Gerais'!$K$60*'Dados Gerais'!$I$22*'Dados Operacionais'!J50</f>
        <v>0</v>
      </c>
      <c r="I19" s="272">
        <f>IF(H19="-","-",IF('Dados Operacionais'!$J$50=0,0,(H19/'Dados Operacionais'!$J$50)))</f>
        <v>0</v>
      </c>
      <c r="J19" s="469">
        <f>IF(H19="-","-",IF('Dados Operacionais'!$J$14=0,0,(H19/'Dados Operacionais'!$J$14)))</f>
        <v>0</v>
      </c>
    </row>
    <row r="20" spans="2:12" ht="15.75" customHeight="1" x14ac:dyDescent="0.2">
      <c r="C20" s="253" t="s">
        <v>238</v>
      </c>
      <c r="D20" s="253"/>
      <c r="E20" s="253"/>
      <c r="F20" s="254"/>
      <c r="G20" s="254"/>
      <c r="H20" s="256">
        <f>SUM(H16:H19)</f>
        <v>0</v>
      </c>
      <c r="I20" s="472">
        <f>IF('Dados Operacionais'!$K$50=0,0,('Custos Variáveis'!H20/'Dados Operacionais'!$K$50))</f>
        <v>0</v>
      </c>
      <c r="J20" s="473">
        <f>IF('Dados Operacionais'!$K$14=0,0,(H20/'Dados Operacionais'!$K$14))</f>
        <v>0</v>
      </c>
    </row>
    <row r="21" spans="2:12" ht="15.75" customHeight="1" x14ac:dyDescent="0.2"/>
    <row r="22" spans="2:12" ht="15.75" customHeight="1" x14ac:dyDescent="0.2">
      <c r="B22" s="2" t="s">
        <v>234</v>
      </c>
      <c r="C22" s="5"/>
      <c r="D22" s="5"/>
      <c r="E22" s="5"/>
      <c r="F22" s="5"/>
      <c r="G22" s="5"/>
      <c r="H22" s="49"/>
      <c r="I22" s="5"/>
      <c r="J22" s="5"/>
    </row>
    <row r="23" spans="2:12" ht="15.75" customHeight="1" x14ac:dyDescent="0.2"/>
    <row r="24" spans="2:12" ht="15.75" customHeight="1" x14ac:dyDescent="0.2">
      <c r="B24" s="56"/>
      <c r="C24" s="559" t="s">
        <v>0</v>
      </c>
      <c r="D24" s="560"/>
      <c r="E24" s="560"/>
      <c r="F24" s="560"/>
      <c r="G24" s="561"/>
      <c r="H24" s="248" t="s">
        <v>65</v>
      </c>
      <c r="I24" s="249" t="s">
        <v>66</v>
      </c>
      <c r="J24" s="263" t="s">
        <v>67</v>
      </c>
    </row>
    <row r="25" spans="2:12" ht="15.75" customHeight="1" x14ac:dyDescent="0.2">
      <c r="B25" s="56"/>
      <c r="C25" s="52" t="s">
        <v>2</v>
      </c>
      <c r="E25" s="53"/>
      <c r="H25" s="273">
        <f>+'Dados Gerais'!$J$101*'Dados Gerais'!$I$22*I7*'Dados Operacionais'!G50</f>
        <v>0</v>
      </c>
      <c r="I25" s="272">
        <f>IF('Dados Operacionais'!$G$50=0,0,(H25/'Dados Operacionais'!$G$50))</f>
        <v>0</v>
      </c>
      <c r="J25" s="54">
        <f>IF('Dados Operacionais'!$G$14=0,0,(H25/'Dados Operacionais'!$G$14))</f>
        <v>0</v>
      </c>
      <c r="L25" s="467"/>
    </row>
    <row r="26" spans="2:12" ht="15.75" customHeight="1" x14ac:dyDescent="0.2">
      <c r="B26" s="57"/>
      <c r="C26" s="52" t="s">
        <v>250</v>
      </c>
      <c r="E26" s="53"/>
      <c r="H26" s="273">
        <f>+'Dados Gerais'!$J$101*'Dados Gerais'!$I$22*'Dados Operacionais'!H50</f>
        <v>0</v>
      </c>
      <c r="I26" s="272">
        <f>IF('Dados Operacionais'!$H$50=0,0,(H26/'Dados Operacionais'!$H$50))</f>
        <v>0</v>
      </c>
      <c r="J26" s="54">
        <f>IF('Dados Operacionais'!$H$14=0,0,(H26/'Dados Operacionais'!$H$14))</f>
        <v>0</v>
      </c>
    </row>
    <row r="27" spans="2:12" ht="15.75" customHeight="1" x14ac:dyDescent="0.2">
      <c r="B27" s="58"/>
      <c r="C27" s="52" t="s">
        <v>249</v>
      </c>
      <c r="E27" s="53"/>
      <c r="H27" s="273">
        <f>+'Dados Gerais'!$J$101*'Dados Gerais'!$I$22*I9*'Dados Operacionais'!I50</f>
        <v>0</v>
      </c>
      <c r="I27" s="272">
        <f>IF(H27="-","-",IF('Dados Operacionais'!$I$50=0,0,(H27/'Dados Operacionais'!$I$50)))</f>
        <v>0</v>
      </c>
      <c r="J27" s="54">
        <f>IF(H27="-","-",IF('Dados Operacionais'!$I$14=0,0,(H27/'Dados Operacionais'!$I$14)))</f>
        <v>0</v>
      </c>
    </row>
    <row r="28" spans="2:12" ht="15.75" customHeight="1" x14ac:dyDescent="0.2">
      <c r="C28" s="134" t="s">
        <v>251</v>
      </c>
      <c r="D28" s="119"/>
      <c r="E28" s="53"/>
      <c r="H28" s="273">
        <f>+'Dados Gerais'!$J$101*'Dados Gerais'!$I$22*'Dados Operacionais'!J50</f>
        <v>0</v>
      </c>
      <c r="I28" s="272">
        <f>IF(H28="-","-",IF('Dados Operacionais'!$J$50=0,0,(H28/'Dados Operacionais'!$J$50)))</f>
        <v>0</v>
      </c>
      <c r="J28" s="252">
        <f>IF(H28="-","-",IF('Dados Operacionais'!$J$14=0,0,(H28/'Dados Operacionais'!$J$14)))</f>
        <v>0</v>
      </c>
    </row>
    <row r="29" spans="2:12" ht="15.75" customHeight="1" x14ac:dyDescent="0.2">
      <c r="C29" s="253" t="s">
        <v>69</v>
      </c>
      <c r="D29" s="253"/>
      <c r="E29" s="253"/>
      <c r="F29" s="254"/>
      <c r="G29" s="254"/>
      <c r="H29" s="256">
        <f>SUM(H25:H28)</f>
        <v>0</v>
      </c>
      <c r="I29" s="257">
        <f>IF('Dados Operacionais'!$K$50=0,0,('Custos Variáveis'!H29/'Dados Operacionais'!$K$50))</f>
        <v>0</v>
      </c>
      <c r="J29" s="255">
        <f>IF('Dados Operacionais'!$K$14=0,0,(H29/'Dados Operacionais'!$K$14))</f>
        <v>0</v>
      </c>
    </row>
    <row r="30" spans="2:12" ht="15.75" customHeight="1" x14ac:dyDescent="0.2">
      <c r="G30" s="59"/>
    </row>
    <row r="31" spans="2:12" ht="15.75" customHeight="1" x14ac:dyDescent="0.2">
      <c r="B31" s="2" t="s">
        <v>235</v>
      </c>
      <c r="C31" s="5"/>
      <c r="D31" s="5"/>
      <c r="E31" s="5"/>
      <c r="F31" s="5"/>
      <c r="G31" s="5"/>
      <c r="H31" s="60"/>
      <c r="I31" s="5"/>
      <c r="J31" s="5"/>
    </row>
    <row r="32" spans="2:12" ht="15.75" customHeight="1" x14ac:dyDescent="0.2"/>
    <row r="33" spans="2:11" ht="15.75" customHeight="1" x14ac:dyDescent="0.2">
      <c r="B33" s="56"/>
      <c r="C33" s="264" t="s">
        <v>0</v>
      </c>
      <c r="D33" s="247" t="s">
        <v>70</v>
      </c>
      <c r="E33" s="247" t="s">
        <v>71</v>
      </c>
      <c r="F33" s="262" t="s">
        <v>72</v>
      </c>
      <c r="G33" s="247" t="s">
        <v>73</v>
      </c>
      <c r="H33" s="248" t="s">
        <v>65</v>
      </c>
      <c r="I33" s="249" t="s">
        <v>66</v>
      </c>
      <c r="J33" s="263" t="s">
        <v>67</v>
      </c>
    </row>
    <row r="34" spans="2:11" ht="15.75" customHeight="1" x14ac:dyDescent="0.2">
      <c r="B34" s="56"/>
      <c r="C34" s="52" t="s">
        <v>2</v>
      </c>
      <c r="D34" s="288">
        <f>IF('Dados Operacionais'!$G$50=0,0,(('Dados Gerais'!$H$42*'Dados Gerais'!$H$66*'Dados Gerais'!$H$70*'Dados Operacionais'!G50)/'Dados Gerais'!$H$71))</f>
        <v>0</v>
      </c>
      <c r="E34" s="288">
        <f>IF('Dados Operacionais'!$G$50=0,0,(('Dados Gerais'!$H$43*'Dados Gerais'!$H$67*'Dados Gerais'!$H$70*'Dados Operacionais'!$G$50/'Dados Gerais'!$H$71)))</f>
        <v>0</v>
      </c>
      <c r="F34" s="61">
        <f>IF('Dados Operacionais'!$G$50=0,0,(('Dados Gerais'!$H$44*'Dados Gerais'!$H$68*'Dados Gerais'!$H$70*'Dados Operacionais'!$G$50/'Dados Gerais'!$H$71)))</f>
        <v>0</v>
      </c>
      <c r="G34" s="288">
        <f>IF('Dados Operacionais'!$G$50=0,0,(('Dados Gerais'!$H$45*'Dados Gerais'!$H$69*'Dados Gerais'!$H$70*'Dados Operacionais'!$G$50/'Dados Gerais'!$H$71)))</f>
        <v>0</v>
      </c>
      <c r="H34" s="303">
        <f>SUM(D34:G34)</f>
        <v>0</v>
      </c>
      <c r="I34" s="272">
        <f>IF('Dados Operacionais'!$G$50=0,0,(H34/'Dados Operacionais'!$G$50))</f>
        <v>0</v>
      </c>
      <c r="J34" s="54">
        <f>IF('Dados Operacionais'!$G$14=0,0,(H34/'Dados Operacionais'!$G$14))</f>
        <v>0</v>
      </c>
    </row>
    <row r="35" spans="2:11" ht="15.75" customHeight="1" x14ac:dyDescent="0.2">
      <c r="B35" s="57"/>
      <c r="C35" s="52" t="s">
        <v>250</v>
      </c>
      <c r="D35" s="288">
        <f>IF('Dados Operacionais'!$H$50=0,0,(('Dados Gerais'!$I$42*'Dados Gerais'!$I$66*'Dados Gerais'!$I$70*'Dados Operacionais'!$H$50/'Dados Gerais'!$I$71)))</f>
        <v>0</v>
      </c>
      <c r="E35" s="288">
        <f>IF('Dados Operacionais'!$H$50=0,0,(('Dados Gerais'!$I$43*'Dados Gerais'!$I$67*'Dados Gerais'!$I$70*'Dados Operacionais'!$H$50/'Dados Gerais'!$I$71)))</f>
        <v>0</v>
      </c>
      <c r="F35" s="61">
        <f>IF('Dados Operacionais'!$H$50=0,0,(('Dados Gerais'!$I$44*'Dados Gerais'!$I$68*'Dados Gerais'!$I$70*'Dados Operacionais'!$H$50/'Dados Gerais'!$I$71)))</f>
        <v>0</v>
      </c>
      <c r="G35" s="288">
        <f>IF('Dados Operacionais'!$H$50=0,0,(('Dados Gerais'!$I$45*'Dados Gerais'!$I$69*'Dados Gerais'!$I$70*'Dados Operacionais'!$H$50/'Dados Gerais'!$I$71)))</f>
        <v>0</v>
      </c>
      <c r="H35" s="303">
        <f>SUM(D35:G35)</f>
        <v>0</v>
      </c>
      <c r="I35" s="272">
        <f>IF('Dados Operacionais'!$H$50=0,0,(H35/'Dados Operacionais'!$H$50))</f>
        <v>0</v>
      </c>
      <c r="J35" s="54">
        <f>IF('Dados Operacionais'!$H$14=0,0,(H35/'Dados Operacionais'!$H$14))</f>
        <v>0</v>
      </c>
    </row>
    <row r="36" spans="2:11" ht="15.75" customHeight="1" x14ac:dyDescent="0.2">
      <c r="B36" s="28"/>
      <c r="C36" s="52" t="s">
        <v>249</v>
      </c>
      <c r="D36" s="288">
        <f>IF('Dados Gerais'!J66="-","-",IF('Dados Operacionais'!$I$50=0,0,(('Dados Gerais'!$J$42*'Dados Gerais'!$J$66*'Dados Gerais'!$J$70*'Dados Operacionais'!$I$50/'Dados Gerais'!$J$71))))</f>
        <v>0</v>
      </c>
      <c r="E36" s="288">
        <f>IF('Dados Gerais'!J67="-","-",IF('Dados Operacionais'!$I$50=0,0,(('Dados Gerais'!$J$43*'Dados Gerais'!$J$67*'Dados Gerais'!$J$70*'Dados Operacionais'!$I$50/'Dados Gerais'!$J$71))))</f>
        <v>0</v>
      </c>
      <c r="F36" s="61">
        <f>IF('Dados Gerais'!J68="-","-",IF('Dados Operacionais'!$I$50=0,0,(('Dados Gerais'!$J$44*'Dados Gerais'!$J$68*'Dados Gerais'!$J$70*'Dados Operacionais'!$I$50/'Dados Gerais'!$J$71))))</f>
        <v>0</v>
      </c>
      <c r="G36" s="288">
        <f>IF('Dados Gerais'!J69="-","-",IF('Dados Operacionais'!$I$50=0,0,(('Dados Gerais'!$J$45*'Dados Gerais'!$J$69*'Dados Gerais'!$J$70*'Dados Operacionais'!$I$50/'Dados Gerais'!$J$71))))</f>
        <v>0</v>
      </c>
      <c r="H36" s="303">
        <f>SUM(D36:G36)</f>
        <v>0</v>
      </c>
      <c r="I36" s="272">
        <f>IF('Dados Operacionais'!$I$50=0,0,(H36/'Dados Operacionais'!$I$50))</f>
        <v>0</v>
      </c>
      <c r="J36" s="252">
        <v>0</v>
      </c>
    </row>
    <row r="37" spans="2:11" ht="15.75" customHeight="1" x14ac:dyDescent="0.2">
      <c r="B37" s="57"/>
      <c r="C37" s="134" t="s">
        <v>251</v>
      </c>
      <c r="D37" s="288">
        <f>IF('Dados Gerais'!K66="-","-",IF('Dados Operacionais'!$J$50=0,0,(('Dados Gerais'!$K$42*'Dados Gerais'!$K$66*'Dados Gerais'!$K$70*'Dados Operacionais'!$J$50/'Dados Gerais'!$K$71))))</f>
        <v>0</v>
      </c>
      <c r="E37" s="288">
        <f>IF('Dados Gerais'!K67="-","-",IF('Dados Operacionais'!$J$50=0,0,(('Dados Gerais'!$K$43*'Dados Gerais'!$K$67*'Dados Gerais'!$K$70*'Dados Operacionais'!$J$50/'Dados Gerais'!$K$71))))</f>
        <v>0</v>
      </c>
      <c r="F37" s="61">
        <f>IF('Dados Gerais'!K68="-","-",IF('Dados Operacionais'!$J$50=0,0,(('Dados Gerais'!$K$44*'Dados Gerais'!$K$68*'Dados Gerais'!$K$70*'Dados Operacionais'!$J$50/'Dados Gerais'!$K$71))))</f>
        <v>0</v>
      </c>
      <c r="G37" s="288">
        <f>IF('Dados Gerais'!K69="-","-",IF('Dados Operacionais'!$J$50=0,0,(('Dados Gerais'!$K$45*'Dados Gerais'!$K$69*'Dados Gerais'!$K$70*'Dados Operacionais'!$J$50/'Dados Gerais'!$K$71))))</f>
        <v>0</v>
      </c>
      <c r="H37" s="303" t="str">
        <f>IF(SUM(D37:G37)=0,"-",SUM(D37:G37))</f>
        <v>-</v>
      </c>
      <c r="I37" s="272" t="str">
        <f>IF(H37="-","-",IF('Dados Operacionais'!$J$50=0,0,(H37/'Dados Operacionais'!$J$50)))</f>
        <v>-</v>
      </c>
      <c r="J37" s="252" t="str">
        <f>IF(H37="-","-",IF('Dados Operacionais'!$J$14=0,0,(H37/'Dados Operacionais'!$J$14)))</f>
        <v>-</v>
      </c>
    </row>
    <row r="38" spans="2:11" ht="15.75" customHeight="1" x14ac:dyDescent="0.2">
      <c r="B38" s="28"/>
      <c r="C38" s="253" t="s">
        <v>74</v>
      </c>
      <c r="D38" s="259">
        <f>SUM(D34:D37)</f>
        <v>0</v>
      </c>
      <c r="E38" s="259">
        <f>SUM(E34:E37)</f>
        <v>0</v>
      </c>
      <c r="F38" s="286">
        <f>SUM(F34:F37)</f>
        <v>0</v>
      </c>
      <c r="G38" s="259">
        <f>SUM(G34:G37)</f>
        <v>0</v>
      </c>
      <c r="H38" s="259">
        <f>SUM(H34:H37)</f>
        <v>0</v>
      </c>
      <c r="I38" s="257">
        <f>IF('Dados Operacionais'!$K$50=0,0,('Custos Variáveis'!H38/'Dados Operacionais'!$K$50))</f>
        <v>0</v>
      </c>
      <c r="J38" s="255">
        <f>IF('Dados Operacionais'!$K$14=0,0,(H38/'Dados Operacionais'!$K$14))</f>
        <v>0</v>
      </c>
    </row>
    <row r="39" spans="2:11" ht="15.75" customHeight="1" x14ac:dyDescent="0.2">
      <c r="B39" s="28"/>
      <c r="C39" s="43"/>
      <c r="D39" s="43"/>
      <c r="E39" s="43"/>
      <c r="F39" s="62"/>
      <c r="G39" s="62"/>
      <c r="H39" s="63"/>
      <c r="I39" s="64"/>
      <c r="J39" s="65"/>
    </row>
    <row r="40" spans="2:11" ht="15.75" customHeight="1" x14ac:dyDescent="0.2">
      <c r="B40" s="2" t="s">
        <v>236</v>
      </c>
      <c r="C40" s="5"/>
      <c r="D40" s="5"/>
      <c r="E40" s="5"/>
      <c r="F40" s="5"/>
      <c r="G40" s="5"/>
      <c r="H40" s="66"/>
      <c r="I40" s="67"/>
      <c r="J40" s="5"/>
    </row>
    <row r="41" spans="2:11" ht="15.75" customHeight="1" x14ac:dyDescent="0.2">
      <c r="H41" s="185"/>
      <c r="I41" s="185"/>
    </row>
    <row r="42" spans="2:11" ht="15.75" customHeight="1" x14ac:dyDescent="0.2">
      <c r="B42" s="56"/>
      <c r="C42" s="559" t="s">
        <v>0</v>
      </c>
      <c r="D42" s="560"/>
      <c r="E42" s="560"/>
      <c r="F42" s="560"/>
      <c r="G42" s="561"/>
      <c r="H42" s="248" t="s">
        <v>65</v>
      </c>
      <c r="I42" s="249" t="s">
        <v>66</v>
      </c>
      <c r="J42" s="263" t="s">
        <v>67</v>
      </c>
    </row>
    <row r="43" spans="2:11" ht="15.75" customHeight="1" x14ac:dyDescent="0.2">
      <c r="B43" s="56"/>
      <c r="C43" s="52" t="s">
        <v>2</v>
      </c>
      <c r="E43" s="53"/>
      <c r="H43" s="273">
        <v>0</v>
      </c>
      <c r="I43" s="272">
        <f>IF('Dados Operacionais'!$G$50=0,0,(H43/'Dados Operacionais'!$G$50))</f>
        <v>0</v>
      </c>
      <c r="J43" s="54">
        <f>IF('Dados Operacionais'!$G$14=0,0,(H43/'Dados Operacionais'!$G$14))</f>
        <v>0</v>
      </c>
      <c r="K43" s="74"/>
    </row>
    <row r="44" spans="2:11" ht="15.75" customHeight="1" x14ac:dyDescent="0.2">
      <c r="B44" s="57"/>
      <c r="C44" s="52" t="s">
        <v>250</v>
      </c>
      <c r="E44" s="53"/>
      <c r="H44" s="273" t="str">
        <f>IF('Dados Operacionais'!$H$50=0,"-",(('Dados Gerais'!$I$49*'Dados Gerais'!$J$104)/'Dados Operacionais'!$H$59)*'Dados Operacionais'!$H$50)</f>
        <v>-</v>
      </c>
      <c r="I44" s="272">
        <f>IF('Dados Operacionais'!$H$50=0,0,(H44/'Dados Operacionais'!$H$50))</f>
        <v>0</v>
      </c>
      <c r="J44" s="54">
        <f>IF('Dados Operacionais'!$H$14=0,0,(H44/'Dados Operacionais'!$H$14))</f>
        <v>0</v>
      </c>
      <c r="K44" s="74"/>
    </row>
    <row r="45" spans="2:11" ht="15.75" customHeight="1" x14ac:dyDescent="0.2">
      <c r="B45" s="28"/>
      <c r="C45" s="52" t="s">
        <v>249</v>
      </c>
      <c r="E45" s="53"/>
      <c r="G45" s="44"/>
      <c r="H45" s="273">
        <v>0</v>
      </c>
      <c r="I45" s="272">
        <f>IF('Dados Operacionais'!$H$50=0,0,(H45/'Dados Operacionais'!$H$50))</f>
        <v>0</v>
      </c>
      <c r="J45" s="54">
        <f>IF('Dados Operacionais'!$H$14=0,0,(H45/'Dados Operacionais'!$H$14))</f>
        <v>0</v>
      </c>
      <c r="K45" s="74"/>
    </row>
    <row r="46" spans="2:11" ht="15.75" customHeight="1" x14ac:dyDescent="0.2">
      <c r="B46" s="57"/>
      <c r="C46" s="134" t="s">
        <v>251</v>
      </c>
      <c r="D46" s="119"/>
      <c r="E46" s="53"/>
      <c r="G46" s="68"/>
      <c r="H46" s="273" t="str">
        <f>IF('Dados Operacionais'!$J$50=0,"-",(('Dados Gerais'!$K$49*'Dados Gerais'!$J$104)/'Dados Operacionais'!$J$59)*'Dados Operacionais'!$J$50)</f>
        <v>-</v>
      </c>
      <c r="I46" s="272" t="str">
        <f>IF('Dados Operacionais'!$J$50=0,"-",(H46/'Dados Operacionais'!$J$50))</f>
        <v>-</v>
      </c>
      <c r="J46" s="252" t="str">
        <f>IF(H46="-","-",IF('Dados Operacionais'!$K$14=0,0,(H46/'Dados Operacionais'!$J$14)))</f>
        <v>-</v>
      </c>
      <c r="K46" s="74"/>
    </row>
    <row r="47" spans="2:11" ht="15.75" customHeight="1" x14ac:dyDescent="0.2">
      <c r="B47" s="28"/>
      <c r="C47" s="253" t="s">
        <v>75</v>
      </c>
      <c r="D47" s="253"/>
      <c r="E47" s="253"/>
      <c r="F47" s="254"/>
      <c r="G47" s="254"/>
      <c r="H47" s="256">
        <f>SUM(H43:H46)</f>
        <v>0</v>
      </c>
      <c r="I47" s="257">
        <f>IF('Dados Operacionais'!$K$50=0,0,('Custos Variáveis'!H47/'Dados Operacionais'!$K$50))</f>
        <v>0</v>
      </c>
      <c r="J47" s="255">
        <f>IF('Dados Operacionais'!$K$14=0,0,(H47/'Dados Operacionais'!$K$14))</f>
        <v>0</v>
      </c>
      <c r="K47" s="74"/>
    </row>
    <row r="48" spans="2:11" ht="15.75" customHeight="1" x14ac:dyDescent="0.2">
      <c r="B48" s="28"/>
      <c r="C48" s="134"/>
      <c r="D48" s="134"/>
      <c r="E48" s="134"/>
      <c r="F48" s="119"/>
      <c r="G48" s="119"/>
      <c r="H48" s="480"/>
      <c r="I48" s="481"/>
      <c r="J48" s="315"/>
      <c r="K48" s="74"/>
    </row>
    <row r="49" spans="1:11" ht="15.75" customHeight="1" x14ac:dyDescent="0.2">
      <c r="B49" s="2" t="s">
        <v>239</v>
      </c>
      <c r="C49" s="5"/>
      <c r="D49" s="5"/>
      <c r="E49" s="5"/>
      <c r="F49" s="5"/>
      <c r="G49" s="5"/>
      <c r="H49" s="66"/>
      <c r="I49" s="67"/>
      <c r="J49" s="5"/>
    </row>
    <row r="50" spans="1:11" ht="15.75" customHeight="1" x14ac:dyDescent="0.2">
      <c r="H50" s="185"/>
      <c r="I50" s="185"/>
    </row>
    <row r="51" spans="1:11" ht="15.75" customHeight="1" x14ac:dyDescent="0.2">
      <c r="B51" s="56"/>
      <c r="C51" s="559" t="s">
        <v>0</v>
      </c>
      <c r="D51" s="560"/>
      <c r="E51" s="560"/>
      <c r="F51" s="560"/>
      <c r="G51" s="561"/>
      <c r="H51" s="248" t="s">
        <v>65</v>
      </c>
      <c r="I51" s="249" t="s">
        <v>66</v>
      </c>
      <c r="J51" s="263" t="s">
        <v>67</v>
      </c>
    </row>
    <row r="52" spans="1:11" ht="15.75" customHeight="1" x14ac:dyDescent="0.2">
      <c r="B52" s="56"/>
      <c r="C52" s="52" t="s">
        <v>2</v>
      </c>
      <c r="E52" s="53"/>
      <c r="H52" s="273">
        <v>0</v>
      </c>
      <c r="I52" s="272">
        <f>IF('Dados Operacionais'!$G$50=0,0,(H52/'Dados Operacionais'!$G$50))</f>
        <v>0</v>
      </c>
      <c r="J52" s="471">
        <f>IF('Dados Operacionais'!$G$14=0,0,(H52/'Dados Operacionais'!$G$14))</f>
        <v>0</v>
      </c>
      <c r="K52" s="74"/>
    </row>
    <row r="53" spans="1:11" ht="15.75" customHeight="1" x14ac:dyDescent="0.2">
      <c r="B53" s="57"/>
      <c r="C53" s="52" t="s">
        <v>250</v>
      </c>
      <c r="E53" s="53"/>
      <c r="H53" s="273">
        <f>('Dados Gerais'!I63*'Dados Gerais'!I49*'Dados Operacionais'!H36)/12</f>
        <v>0</v>
      </c>
      <c r="I53" s="272">
        <f>IF('Dados Operacionais'!$H$50=0,0,(H53/'Dados Operacionais'!$H$50))</f>
        <v>0</v>
      </c>
      <c r="J53" s="471">
        <f>IF('Dados Operacionais'!$H$14=0,0,(H53/'Dados Operacionais'!$H$14))</f>
        <v>0</v>
      </c>
      <c r="K53" s="74"/>
    </row>
    <row r="54" spans="1:11" ht="15.75" customHeight="1" x14ac:dyDescent="0.2">
      <c r="B54" s="28"/>
      <c r="C54" s="52" t="s">
        <v>249</v>
      </c>
      <c r="E54" s="53"/>
      <c r="G54" s="44"/>
      <c r="H54" s="273">
        <v>0</v>
      </c>
      <c r="I54" s="272">
        <f>IF('Dados Operacionais'!$H$50=0,0,(H54/'Dados Operacionais'!$H$50))</f>
        <v>0</v>
      </c>
      <c r="J54" s="471">
        <f>IF('Dados Operacionais'!$H$14=0,0,(H54/'Dados Operacionais'!$H$14))</f>
        <v>0</v>
      </c>
      <c r="K54" s="74"/>
    </row>
    <row r="55" spans="1:11" ht="15.75" customHeight="1" x14ac:dyDescent="0.2">
      <c r="B55" s="57"/>
      <c r="C55" s="134" t="s">
        <v>251</v>
      </c>
      <c r="D55" s="119"/>
      <c r="E55" s="53"/>
      <c r="G55" s="68"/>
      <c r="H55" s="273">
        <f>('Dados Gerais'!K63*'Dados Gerais'!K49*'Dados Operacionais'!J36)/12</f>
        <v>0</v>
      </c>
      <c r="I55" s="272" t="str">
        <f>IF('Dados Operacionais'!$J$50=0,"-",(H55/'Dados Operacionais'!$J$50))</f>
        <v>-</v>
      </c>
      <c r="J55" s="469">
        <f>IF(H55="-","-",IF('Dados Operacionais'!$K$14=0,0,(H55/'Dados Operacionais'!$J$14)))</f>
        <v>0</v>
      </c>
      <c r="K55" s="74"/>
    </row>
    <row r="56" spans="1:11" ht="15.75" customHeight="1" x14ac:dyDescent="0.2">
      <c r="B56" s="28"/>
      <c r="C56" s="253" t="s">
        <v>75</v>
      </c>
      <c r="D56" s="253"/>
      <c r="E56" s="253"/>
      <c r="F56" s="254"/>
      <c r="G56" s="254"/>
      <c r="H56" s="256">
        <f>SUM(H52:H55)</f>
        <v>0</v>
      </c>
      <c r="I56" s="541">
        <f>IF('Dados Operacionais'!$K$50=0,0,('Custos Variáveis'!H56/'Dados Operacionais'!$K$50))</f>
        <v>0</v>
      </c>
      <c r="J56" s="473">
        <f>IF('Dados Operacionais'!$K$14=0,0,(H56/'Dados Operacionais'!$K$14))</f>
        <v>0</v>
      </c>
      <c r="K56" s="74"/>
    </row>
    <row r="57" spans="1:11" ht="15.75" customHeight="1" x14ac:dyDescent="0.2">
      <c r="B57" s="28"/>
      <c r="C57" s="43"/>
      <c r="D57" s="43"/>
      <c r="E57" s="43"/>
      <c r="F57" s="62"/>
      <c r="G57" s="62"/>
      <c r="H57" s="558"/>
      <c r="I57" s="558"/>
      <c r="J57" s="65"/>
    </row>
    <row r="58" spans="1:11" ht="15.75" customHeight="1" x14ac:dyDescent="0.25">
      <c r="A58" s="48" t="s">
        <v>76</v>
      </c>
      <c r="B58" s="5"/>
      <c r="C58" s="5"/>
      <c r="D58" s="5"/>
      <c r="E58" s="5"/>
      <c r="F58" s="5"/>
      <c r="G58" s="5"/>
      <c r="H58" s="327"/>
      <c r="I58" s="328"/>
      <c r="J58" s="5"/>
    </row>
    <row r="59" spans="1:11" ht="15.75" customHeight="1" x14ac:dyDescent="0.2">
      <c r="B59" s="28"/>
      <c r="C59" s="43"/>
      <c r="D59" s="43"/>
      <c r="E59" s="43"/>
      <c r="F59" s="40"/>
      <c r="G59" s="41"/>
      <c r="H59" s="69"/>
      <c r="I59" s="41"/>
      <c r="J59" s="42"/>
    </row>
    <row r="60" spans="1:11" ht="15.75" customHeight="1" x14ac:dyDescent="0.2">
      <c r="B60" s="28"/>
      <c r="C60" s="559" t="s">
        <v>0</v>
      </c>
      <c r="D60" s="560"/>
      <c r="E60" s="560"/>
      <c r="F60" s="560"/>
      <c r="G60" s="561"/>
      <c r="H60" s="248" t="s">
        <v>65</v>
      </c>
      <c r="I60" s="249" t="s">
        <v>66</v>
      </c>
      <c r="J60" s="263" t="s">
        <v>67</v>
      </c>
    </row>
    <row r="61" spans="1:11" ht="15.75" customHeight="1" x14ac:dyDescent="0.2">
      <c r="B61" s="28"/>
      <c r="C61" s="52" t="s">
        <v>77</v>
      </c>
      <c r="D61" s="52"/>
      <c r="E61" s="52"/>
      <c r="H61" s="273">
        <f>H11</f>
        <v>0</v>
      </c>
      <c r="I61" s="272">
        <f>IF('Dados Operacionais'!$K$50=0,0,(H61/'Dados Operacionais'!$K$50))</f>
        <v>0</v>
      </c>
      <c r="J61" s="54">
        <f>IF('Dados Operacionais'!$K$14=0,0,(H61/'Dados Operacionais'!$K$14))</f>
        <v>0</v>
      </c>
    </row>
    <row r="62" spans="1:11" ht="15.75" customHeight="1" x14ac:dyDescent="0.2">
      <c r="B62" s="28"/>
      <c r="C62" s="52" t="s">
        <v>233</v>
      </c>
      <c r="D62" s="52"/>
      <c r="E62" s="52"/>
      <c r="H62" s="273">
        <f>+H20</f>
        <v>0</v>
      </c>
      <c r="I62" s="272">
        <f>IF('Dados Operacionais'!$K$50=0,0,(H62/'Dados Operacionais'!$K$50))</f>
        <v>0</v>
      </c>
      <c r="J62" s="471">
        <f>IF('Dados Operacionais'!$K$14=0,0,(H62/'Dados Operacionais'!$K$14))</f>
        <v>0</v>
      </c>
    </row>
    <row r="63" spans="1:11" ht="15.75" customHeight="1" x14ac:dyDescent="0.2">
      <c r="B63" s="28"/>
      <c r="C63" s="52" t="s">
        <v>78</v>
      </c>
      <c r="D63" s="52"/>
      <c r="E63" s="52"/>
      <c r="H63" s="273">
        <f>H29</f>
        <v>0</v>
      </c>
      <c r="I63" s="272">
        <f>IF('Dados Operacionais'!$K$50=0,0,(H63/'Dados Operacionais'!$K$50))</f>
        <v>0</v>
      </c>
      <c r="J63" s="54">
        <f>IF('Dados Operacionais'!$K$14=0,0,(H63/'Dados Operacionais'!$K$14))</f>
        <v>0</v>
      </c>
    </row>
    <row r="64" spans="1:11" ht="15.75" customHeight="1" x14ac:dyDescent="0.2">
      <c r="B64" s="28"/>
      <c r="C64" s="52" t="s">
        <v>79</v>
      </c>
      <c r="D64" s="52"/>
      <c r="E64" s="52"/>
      <c r="H64" s="273">
        <f>H38</f>
        <v>0</v>
      </c>
      <c r="I64" s="272">
        <f>IF('Dados Operacionais'!$K$50=0,0,(H64/'Dados Operacionais'!$K$50))</f>
        <v>0</v>
      </c>
      <c r="J64" s="54">
        <f>IF('Dados Operacionais'!$K$14=0,0,(H64/'Dados Operacionais'!$K$14))</f>
        <v>0</v>
      </c>
    </row>
    <row r="65" spans="2:10" ht="15.75" customHeight="1" x14ac:dyDescent="0.2">
      <c r="B65" s="28"/>
      <c r="C65" s="52" t="s">
        <v>80</v>
      </c>
      <c r="D65" s="52"/>
      <c r="E65" s="52"/>
      <c r="H65" s="273">
        <f>+H47</f>
        <v>0</v>
      </c>
      <c r="I65" s="272">
        <f>IF('Dados Operacionais'!$K$50=0,0,(H65/'Dados Operacionais'!$K$50))</f>
        <v>0</v>
      </c>
      <c r="J65" s="54">
        <f>IF('Dados Operacionais'!$K$14=0,0,(H65/'Dados Operacionais'!$K$14))</f>
        <v>0</v>
      </c>
    </row>
    <row r="66" spans="2:10" ht="15.75" customHeight="1" x14ac:dyDescent="0.2">
      <c r="B66" s="28"/>
      <c r="C66" s="52" t="s">
        <v>242</v>
      </c>
      <c r="D66" s="52"/>
      <c r="E66" s="52"/>
      <c r="H66" s="273">
        <f>+H56</f>
        <v>0</v>
      </c>
      <c r="I66" s="272">
        <f>IF('Dados Operacionais'!$K$50=0,0,(H66/'Dados Operacionais'!$K$50))</f>
        <v>0</v>
      </c>
      <c r="J66" s="471">
        <f>IF('Dados Operacionais'!$K$14=0,0,(H66/'Dados Operacionais'!$K$14))</f>
        <v>0</v>
      </c>
    </row>
    <row r="67" spans="2:10" ht="15.75" customHeight="1" x14ac:dyDescent="0.2">
      <c r="B67" s="28"/>
      <c r="C67" s="261" t="s">
        <v>81</v>
      </c>
      <c r="D67" s="261"/>
      <c r="E67" s="261"/>
      <c r="F67" s="254"/>
      <c r="G67" s="254"/>
      <c r="H67" s="256">
        <f>SUM(H61:H66)</f>
        <v>0</v>
      </c>
      <c r="I67" s="541">
        <f>IF('Dados Operacionais'!$K$50=0,0,('Custos Variáveis'!H67/'Dados Operacionais'!$K$50))</f>
        <v>0</v>
      </c>
      <c r="J67" s="255">
        <f>IF('Dados Operacionais'!$K$14=0,0,(H67/'Dados Operacionais'!$K$14))</f>
        <v>0</v>
      </c>
    </row>
    <row r="68" spans="2:10" ht="15.75" customHeight="1" x14ac:dyDescent="0.2"/>
    <row r="69" spans="2:10" ht="15" customHeight="1" x14ac:dyDescent="0.2"/>
    <row r="70" spans="2:10" ht="15" customHeight="1" x14ac:dyDescent="0.2">
      <c r="H70" s="71"/>
    </row>
    <row r="71" spans="2:10" ht="15" customHeight="1" x14ac:dyDescent="0.2"/>
    <row r="72" spans="2:10" ht="15" customHeight="1" x14ac:dyDescent="0.2"/>
    <row r="73" spans="2:10" ht="15" customHeight="1" x14ac:dyDescent="0.2"/>
    <row r="74" spans="2:10" ht="15" customHeight="1" x14ac:dyDescent="0.2"/>
  </sheetData>
  <mergeCells count="7">
    <mergeCell ref="H57:I57"/>
    <mergeCell ref="C60:G60"/>
    <mergeCell ref="C6:G6"/>
    <mergeCell ref="C24:G24"/>
    <mergeCell ref="C42:G42"/>
    <mergeCell ref="C15:G15"/>
    <mergeCell ref="C51:G51"/>
  </mergeCells>
  <phoneticPr fontId="0" type="noConversion"/>
  <printOptions horizontalCentered="1"/>
  <pageMargins left="0.59055118110236227" right="0.39370078740157483" top="0.39370078740157483" bottom="3.937007874015748E-2" header="0.59055118110236227" footer="0.31496062992125984"/>
  <pageSetup paperSize="9" scale="78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pageSetUpPr fitToPage="1"/>
  </sheetPr>
  <dimension ref="A1:Q95"/>
  <sheetViews>
    <sheetView showGridLines="0" zoomScaleNormal="100" workbookViewId="0">
      <selection activeCell="C2" sqref="C2"/>
    </sheetView>
  </sheetViews>
  <sheetFormatPr defaultColWidth="9.140625" defaultRowHeight="13.35" customHeight="1" outlineLevelCol="1" x14ac:dyDescent="0.2"/>
  <cols>
    <col min="1" max="1" width="0.140625" style="3" customWidth="1"/>
    <col min="2" max="2" width="1.85546875" style="3" customWidth="1"/>
    <col min="3" max="3" width="12.42578125" style="3" customWidth="1"/>
    <col min="4" max="4" width="13.140625" style="3" customWidth="1"/>
    <col min="5" max="5" width="20.5703125" style="3" customWidth="1"/>
    <col min="6" max="6" width="10.5703125" style="3" customWidth="1"/>
    <col min="7" max="7" width="11.85546875" style="3" customWidth="1"/>
    <col min="8" max="8" width="14.140625" style="46" customWidth="1"/>
    <col min="9" max="9" width="14.140625" style="3" customWidth="1"/>
    <col min="10" max="10" width="11" style="3" bestFit="1" customWidth="1"/>
    <col min="11" max="11" width="9.140625" style="3" customWidth="1"/>
    <col min="12" max="12" width="6.140625" style="3" customWidth="1"/>
    <col min="13" max="14" width="12.5703125" style="3" bestFit="1" customWidth="1" outlineLevel="1"/>
    <col min="15" max="15" width="12.85546875" style="3" customWidth="1" outlineLevel="1"/>
    <col min="16" max="16" width="13.140625" style="3" customWidth="1" outlineLevel="1"/>
    <col min="17" max="17" width="14.42578125" style="3" customWidth="1" outlineLevel="1"/>
    <col min="18" max="16384" width="9.140625" style="3"/>
  </cols>
  <sheetData>
    <row r="1" spans="1:12" ht="18" customHeight="1" x14ac:dyDescent="0.2"/>
    <row r="2" spans="1:12" ht="18" customHeight="1" x14ac:dyDescent="0.25">
      <c r="A2" s="48" t="s">
        <v>185</v>
      </c>
      <c r="B2" s="5"/>
      <c r="C2" s="5"/>
      <c r="D2" s="5"/>
      <c r="E2" s="5"/>
      <c r="F2" s="5"/>
      <c r="G2" s="5"/>
      <c r="H2" s="49"/>
      <c r="I2" s="5"/>
      <c r="J2" s="5"/>
    </row>
    <row r="3" spans="1:12" ht="15.75" customHeight="1" x14ac:dyDescent="0.2">
      <c r="B3" s="50"/>
      <c r="C3" s="45"/>
      <c r="D3" s="45"/>
      <c r="E3" s="45"/>
      <c r="F3" s="45"/>
      <c r="G3" s="45"/>
      <c r="H3" s="51"/>
      <c r="I3" s="45"/>
      <c r="J3" s="45"/>
    </row>
    <row r="4" spans="1:12" ht="15.75" customHeight="1" x14ac:dyDescent="0.2">
      <c r="B4" s="1"/>
      <c r="C4" s="45"/>
      <c r="D4" s="45"/>
      <c r="E4" s="45"/>
      <c r="F4" s="45"/>
      <c r="G4" s="45"/>
      <c r="H4" s="72"/>
      <c r="I4" s="45"/>
      <c r="J4" s="45"/>
    </row>
    <row r="5" spans="1:12" ht="18" customHeight="1" x14ac:dyDescent="0.2">
      <c r="B5" s="2" t="s">
        <v>186</v>
      </c>
      <c r="C5" s="5"/>
      <c r="D5" s="5"/>
      <c r="E5" s="5"/>
      <c r="F5" s="5"/>
      <c r="G5" s="5"/>
      <c r="H5" s="60"/>
      <c r="I5" s="5"/>
      <c r="J5" s="5"/>
    </row>
    <row r="6" spans="1:12" ht="15.75" customHeight="1" x14ac:dyDescent="0.2">
      <c r="B6" s="1"/>
      <c r="C6" s="45"/>
      <c r="D6" s="45"/>
      <c r="E6" s="45"/>
      <c r="F6" s="45"/>
      <c r="G6" s="45"/>
      <c r="H6" s="72"/>
      <c r="I6" s="45"/>
      <c r="J6" s="45"/>
    </row>
    <row r="7" spans="1:12" ht="15.75" customHeight="1" x14ac:dyDescent="0.2">
      <c r="B7" s="1"/>
      <c r="C7" s="45"/>
      <c r="D7" s="45"/>
      <c r="E7" s="45"/>
      <c r="F7" s="45"/>
      <c r="G7" s="45"/>
      <c r="H7" s="72"/>
      <c r="I7" s="45"/>
      <c r="J7" s="45"/>
    </row>
    <row r="8" spans="1:12" ht="18" customHeight="1" x14ac:dyDescent="0.2">
      <c r="B8" s="2" t="s">
        <v>225</v>
      </c>
      <c r="C8" s="5"/>
      <c r="D8" s="5"/>
      <c r="E8" s="5"/>
      <c r="F8" s="5"/>
      <c r="G8" s="5"/>
      <c r="H8" s="49"/>
      <c r="I8" s="5"/>
      <c r="J8" s="5"/>
    </row>
    <row r="9" spans="1:12" ht="15.75" customHeight="1" x14ac:dyDescent="0.2"/>
    <row r="10" spans="1:12" ht="15.75" customHeight="1" x14ac:dyDescent="0.2">
      <c r="C10" s="562" t="s">
        <v>0</v>
      </c>
      <c r="D10" s="562"/>
      <c r="E10" s="562"/>
      <c r="F10" s="562"/>
      <c r="G10" s="562"/>
      <c r="H10" s="301" t="s">
        <v>65</v>
      </c>
      <c r="I10" s="249" t="s">
        <v>66</v>
      </c>
      <c r="J10" s="263" t="s">
        <v>67</v>
      </c>
    </row>
    <row r="11" spans="1:12" ht="15.75" customHeight="1" x14ac:dyDescent="0.2">
      <c r="C11" s="502" t="s">
        <v>254</v>
      </c>
      <c r="E11" s="53"/>
      <c r="H11" s="273">
        <f>('Dados Gerais'!J110*'Dados Gerais'!$J$121*'Dados Operacionais'!$G$11)*(1+'Dados Gerais'!$J$118)</f>
        <v>0</v>
      </c>
      <c r="I11" s="272">
        <f>IF('Dados Operacionais'!$G$50=0,0,(H11/'Dados Operacionais'!$G$50))</f>
        <v>0</v>
      </c>
      <c r="J11" s="54">
        <f>IF('Dados Operacionais'!$G$14=0,0,(H11/'Dados Operacionais'!$G$14))</f>
        <v>0</v>
      </c>
    </row>
    <row r="12" spans="1:12" ht="15.75" customHeight="1" x14ac:dyDescent="0.2">
      <c r="C12" s="502" t="s">
        <v>326</v>
      </c>
      <c r="E12" s="53"/>
      <c r="H12" s="273">
        <f>('Dados Gerais'!J110*'Dados Gerais'!$J$121*'Dados Operacionais'!$H$11)*(1+'Dados Gerais'!$J$118)</f>
        <v>0</v>
      </c>
      <c r="I12" s="272">
        <f>IF('Dados Operacionais'!$H$50=0,0,(H12/'Dados Operacionais'!$H$50))</f>
        <v>0</v>
      </c>
      <c r="J12" s="54">
        <f>IF('Dados Operacionais'!$H$14=0,0,(H12/'Dados Operacionais'!$H$14))</f>
        <v>0</v>
      </c>
    </row>
    <row r="13" spans="1:12" ht="15.75" customHeight="1" x14ac:dyDescent="0.2">
      <c r="C13" s="502" t="s">
        <v>325</v>
      </c>
      <c r="E13" s="53"/>
      <c r="H13" s="273">
        <f>('Dados Gerais'!J110*'Dados Gerais'!$J$122*'Dados Operacionais'!$I$11)*(1+'Dados Gerais'!$J$118)</f>
        <v>0</v>
      </c>
      <c r="I13" s="272">
        <f>IF('Dados Operacionais'!$I$50=0,0,(H13/'Dados Operacionais'!$I$50))</f>
        <v>0</v>
      </c>
      <c r="J13" s="54">
        <f>IF('Dados Operacionais'!$I$14=0,0,(H13/'Dados Operacionais'!$I$14))</f>
        <v>0</v>
      </c>
    </row>
    <row r="14" spans="1:12" ht="15.75" customHeight="1" x14ac:dyDescent="0.2">
      <c r="C14" s="502" t="s">
        <v>255</v>
      </c>
      <c r="E14" s="53"/>
      <c r="H14" s="273">
        <f>('Dados Gerais'!J111*'Dados Gerais'!$J$122*'Dados Operacionais'!$J$11)*(1+'Dados Gerais'!$J$118)</f>
        <v>0</v>
      </c>
      <c r="I14" s="272">
        <f>IF('Dados Operacionais'!$J$50=0,0,(H14/'Dados Operacionais'!$J$50))</f>
        <v>0</v>
      </c>
      <c r="J14" s="54">
        <f>IF('Dados Operacionais'!$J$14=0,0,(H14/'Dados Operacionais'!$J$14))</f>
        <v>0</v>
      </c>
      <c r="L14" s="3" t="s">
        <v>211</v>
      </c>
    </row>
    <row r="15" spans="1:12" ht="15.75" customHeight="1" x14ac:dyDescent="0.2">
      <c r="C15" s="52" t="s">
        <v>27</v>
      </c>
      <c r="E15" s="53"/>
      <c r="H15" s="273">
        <f>('Dados Gerais'!J112*'Dados Gerais'!J123*('Dados Operacionais'!J11)*(1+'Dados Gerais'!J118))</f>
        <v>0</v>
      </c>
      <c r="I15" s="272">
        <f>IF(('Dados Operacionais'!$I$50+'Dados Operacionais'!J50)=0,0,(H15/('Dados Operacionais'!$I$50+'Dados Operacionais'!J50)))</f>
        <v>0</v>
      </c>
      <c r="J15" s="54">
        <f>IF('Dados Operacionais'!$J$14=0,0,(H15/(+'Dados Operacionais'!$I$14+'Dados Operacionais'!$J$14)))</f>
        <v>0</v>
      </c>
    </row>
    <row r="16" spans="1:12" ht="15.75" customHeight="1" x14ac:dyDescent="0.2">
      <c r="C16" s="52" t="s">
        <v>82</v>
      </c>
      <c r="D16" s="52"/>
      <c r="E16" s="53"/>
      <c r="H16" s="273">
        <f>('Dados Gerais'!J113*'Dados Gerais'!J124*('Dados Operacionais'!$H$11+'Dados Operacionais'!J11))*(1+'Dados Gerais'!$J$118)</f>
        <v>0</v>
      </c>
      <c r="I16" s="272">
        <f>IF(('Dados Operacionais'!$I$50+'Dados Operacionais'!J50)=0,0,(H16/('Dados Operacionais'!$I$50+'Dados Operacionais'!J50)))</f>
        <v>0</v>
      </c>
      <c r="J16" s="54">
        <f>IF('Dados Operacionais'!$J$14=0,0,(H16/(+'Dados Operacionais'!$H$14+'Dados Operacionais'!$J$14)))</f>
        <v>0</v>
      </c>
    </row>
    <row r="17" spans="2:10" ht="15.75" customHeight="1" x14ac:dyDescent="0.2">
      <c r="C17" s="253" t="s">
        <v>226</v>
      </c>
      <c r="D17" s="253"/>
      <c r="E17" s="253"/>
      <c r="F17" s="254"/>
      <c r="G17" s="254"/>
      <c r="H17" s="256">
        <f>SUM(H11:H16)</f>
        <v>0</v>
      </c>
      <c r="I17" s="257">
        <f>IF('Dados Operacionais'!$K$50=0,0,('Custos Fixos'!H17/'Dados Operacionais'!$K$50))</f>
        <v>0</v>
      </c>
      <c r="J17" s="255">
        <f>IF('Dados Operacionais'!$K$14=0,0,(H17/'Dados Operacionais'!$K$14))</f>
        <v>0</v>
      </c>
    </row>
    <row r="18" spans="2:10" ht="15.75" customHeight="1" x14ac:dyDescent="0.2">
      <c r="I18" s="401"/>
      <c r="J18" s="74"/>
    </row>
    <row r="19" spans="2:10" ht="15.75" customHeight="1" x14ac:dyDescent="0.2">
      <c r="H19" s="71"/>
    </row>
    <row r="20" spans="2:10" ht="18" customHeight="1" x14ac:dyDescent="0.2">
      <c r="B20" s="2" t="s">
        <v>256</v>
      </c>
      <c r="C20" s="5"/>
      <c r="D20" s="5"/>
      <c r="E20" s="5"/>
      <c r="F20" s="5"/>
      <c r="G20" s="5"/>
      <c r="H20" s="60"/>
      <c r="I20" s="388"/>
      <c r="J20" s="5"/>
    </row>
    <row r="21" spans="2:10" ht="15.75" customHeight="1" x14ac:dyDescent="0.2">
      <c r="I21" s="74"/>
    </row>
    <row r="22" spans="2:10" ht="15.75" customHeight="1" x14ac:dyDescent="0.2">
      <c r="B22" s="56"/>
      <c r="C22" s="562" t="s">
        <v>0</v>
      </c>
      <c r="D22" s="562"/>
      <c r="E22" s="562"/>
      <c r="F22" s="562"/>
      <c r="G22" s="562"/>
      <c r="H22" s="301" t="s">
        <v>65</v>
      </c>
      <c r="I22" s="249" t="s">
        <v>66</v>
      </c>
      <c r="J22" s="263" t="s">
        <v>67</v>
      </c>
    </row>
    <row r="23" spans="2:10" ht="15.75" customHeight="1" x14ac:dyDescent="0.2">
      <c r="B23" s="56"/>
      <c r="C23" s="52" t="s">
        <v>34</v>
      </c>
      <c r="D23" s="52"/>
      <c r="E23" s="53"/>
      <c r="F23" s="73"/>
      <c r="H23" s="273">
        <f>('Dados Gerais'!J114*'Dados Gerais'!J125*('Dados Operacionais'!$H$11+'Dados Operacionais'!J11))*(1+'Dados Gerais'!$J$118)</f>
        <v>0</v>
      </c>
      <c r="I23" s="272">
        <f>IF(('Dados Operacionais'!$H$50+'Dados Operacionais'!J50)=0,0,(H23/('Dados Operacionais'!$H$50+'Dados Operacionais'!J50)))</f>
        <v>0</v>
      </c>
      <c r="J23" s="54">
        <f>IF(('Dados Operacionais'!$H$14+'Dados Operacionais'!J14)=0,0,(H23/('Dados Operacionais'!$H$14+'Dados Operacionais'!J14)))</f>
        <v>0</v>
      </c>
    </row>
    <row r="24" spans="2:10" ht="15.75" customHeight="1" x14ac:dyDescent="0.2">
      <c r="B24" s="57"/>
      <c r="C24" s="52"/>
      <c r="E24" s="53"/>
      <c r="F24" s="73"/>
      <c r="H24" s="273"/>
      <c r="I24" s="272"/>
      <c r="J24" s="54"/>
    </row>
    <row r="25" spans="2:10" ht="15.75" customHeight="1" x14ac:dyDescent="0.2">
      <c r="B25" s="28"/>
      <c r="C25" s="253" t="s">
        <v>257</v>
      </c>
      <c r="D25" s="253"/>
      <c r="E25" s="253"/>
      <c r="F25" s="254"/>
      <c r="G25" s="254"/>
      <c r="H25" s="256">
        <f>SUM(H23:H24)</f>
        <v>0</v>
      </c>
      <c r="I25" s="257">
        <f>+I23</f>
        <v>0</v>
      </c>
      <c r="J25" s="255">
        <f>+J23</f>
        <v>0</v>
      </c>
    </row>
    <row r="26" spans="2:10" ht="15.75" customHeight="1" x14ac:dyDescent="0.2">
      <c r="B26" s="28"/>
      <c r="C26" s="43"/>
      <c r="D26" s="43"/>
      <c r="E26" s="43"/>
      <c r="F26" s="62"/>
      <c r="G26" s="62"/>
      <c r="H26" s="69"/>
      <c r="I26" s="41"/>
      <c r="J26" s="408"/>
    </row>
    <row r="27" spans="2:10" ht="15.75" customHeight="1" x14ac:dyDescent="0.2">
      <c r="B27" s="28"/>
      <c r="C27" s="43"/>
      <c r="D27" s="43"/>
      <c r="E27" s="43"/>
      <c r="F27" s="62"/>
      <c r="G27" s="62"/>
      <c r="H27" s="69"/>
      <c r="I27" s="41"/>
      <c r="J27" s="65"/>
    </row>
    <row r="28" spans="2:10" ht="18" customHeight="1" x14ac:dyDescent="0.2">
      <c r="B28" s="2" t="s">
        <v>265</v>
      </c>
      <c r="C28" s="5"/>
      <c r="D28" s="5"/>
      <c r="E28" s="5"/>
      <c r="F28" s="5"/>
      <c r="G28" s="5"/>
      <c r="H28" s="49"/>
      <c r="I28" s="5"/>
      <c r="J28" s="5"/>
    </row>
    <row r="29" spans="2:10" ht="15.75" customHeight="1" x14ac:dyDescent="0.2">
      <c r="I29" s="74"/>
    </row>
    <row r="30" spans="2:10" ht="15.75" customHeight="1" x14ac:dyDescent="0.2">
      <c r="B30" s="56"/>
      <c r="C30" s="562" t="s">
        <v>0</v>
      </c>
      <c r="D30" s="562"/>
      <c r="E30" s="562"/>
      <c r="F30" s="562"/>
      <c r="G30" s="559"/>
      <c r="H30" s="306" t="s">
        <v>65</v>
      </c>
      <c r="I30" s="249" t="s">
        <v>66</v>
      </c>
      <c r="J30" s="263" t="s">
        <v>67</v>
      </c>
    </row>
    <row r="31" spans="2:10" ht="15.75" customHeight="1" x14ac:dyDescent="0.2">
      <c r="B31" s="56"/>
      <c r="C31" s="266" t="s">
        <v>266</v>
      </c>
      <c r="D31" s="266"/>
      <c r="E31" s="267"/>
      <c r="F31" s="268"/>
      <c r="G31" s="224"/>
      <c r="H31" s="273">
        <f>('Dados Gerais'!J115*'Dados Gerais'!J126*('Dados Operacionais'!$H$11+'Dados Operacionais'!J11))*(1+'Dados Gerais'!$J$118)</f>
        <v>0</v>
      </c>
      <c r="I31" s="272">
        <f>IF(('Dados Operacionais'!$H$50+'Dados Operacionais'!J50)=0,0,(H31/('Dados Operacionais'!$H$50+'Dados Operacionais'!J50)))</f>
        <v>0</v>
      </c>
      <c r="J31" s="54">
        <f>IF(('Dados Operacionais'!$H$14+'Dados Operacionais'!J14)=0,0,(H31/('Dados Operacionais'!$H$14+'Dados Operacionais'!J14)))</f>
        <v>0</v>
      </c>
    </row>
    <row r="32" spans="2:10" ht="15.75" customHeight="1" x14ac:dyDescent="0.2">
      <c r="B32" s="57"/>
      <c r="C32" s="269"/>
      <c r="D32" s="222"/>
      <c r="E32" s="270"/>
      <c r="F32" s="271"/>
      <c r="G32" s="226"/>
      <c r="H32" s="54"/>
      <c r="I32" s="272"/>
      <c r="J32" s="54"/>
    </row>
    <row r="33" spans="2:10" ht="15.75" customHeight="1" x14ac:dyDescent="0.2">
      <c r="B33" s="28"/>
      <c r="C33" s="253" t="s">
        <v>267</v>
      </c>
      <c r="D33" s="253"/>
      <c r="E33" s="253"/>
      <c r="F33" s="254"/>
      <c r="G33" s="227"/>
      <c r="H33" s="255">
        <f>SUM(H31:H32)</f>
        <v>0</v>
      </c>
      <c r="I33" s="257">
        <f>+I31</f>
        <v>0</v>
      </c>
      <c r="J33" s="255">
        <f>+J31</f>
        <v>0</v>
      </c>
    </row>
    <row r="34" spans="2:10" ht="15.75" customHeight="1" x14ac:dyDescent="0.2"/>
    <row r="35" spans="2:10" ht="15.75" customHeight="1" x14ac:dyDescent="0.2">
      <c r="H35" s="71"/>
    </row>
    <row r="36" spans="2:10" ht="15.75" customHeight="1" x14ac:dyDescent="0.2">
      <c r="B36" s="2" t="s">
        <v>187</v>
      </c>
      <c r="C36" s="5"/>
      <c r="D36" s="5"/>
      <c r="E36" s="5"/>
      <c r="F36" s="5"/>
      <c r="G36" s="5"/>
      <c r="H36" s="49"/>
      <c r="I36" s="5"/>
      <c r="J36" s="5"/>
    </row>
    <row r="37" spans="2:10" ht="15.75" customHeight="1" x14ac:dyDescent="0.2"/>
    <row r="38" spans="2:10" ht="15.75" customHeight="1" x14ac:dyDescent="0.2">
      <c r="B38" s="56"/>
      <c r="C38" s="562" t="s">
        <v>0</v>
      </c>
      <c r="D38" s="562"/>
      <c r="E38" s="562"/>
      <c r="F38" s="562"/>
      <c r="G38" s="559"/>
      <c r="H38" s="301" t="s">
        <v>65</v>
      </c>
      <c r="I38" s="249" t="s">
        <v>66</v>
      </c>
      <c r="J38" s="263" t="s">
        <v>67</v>
      </c>
    </row>
    <row r="39" spans="2:10" ht="15.75" customHeight="1" x14ac:dyDescent="0.2">
      <c r="B39" s="56"/>
      <c r="C39" s="52" t="s">
        <v>2</v>
      </c>
      <c r="D39" s="52"/>
      <c r="E39" s="52"/>
      <c r="F39" s="73"/>
      <c r="H39" s="273">
        <f>+'Dados Gerais'!J135*'Dados Operacionais'!G11*'Dados Gerais'!J121</f>
        <v>0</v>
      </c>
      <c r="I39" s="272">
        <f>IF('Dados Operacionais'!$G$50=0,0,(H39/'Dados Operacionais'!$G$50))</f>
        <v>0</v>
      </c>
      <c r="J39" s="54">
        <f>IF('Dados Operacionais'!$G$14=0,0,(H39/'Dados Operacionais'!$G$14))</f>
        <v>0</v>
      </c>
    </row>
    <row r="40" spans="2:10" ht="15.75" customHeight="1" x14ac:dyDescent="0.2">
      <c r="B40" s="56"/>
      <c r="C40" s="52" t="s">
        <v>250</v>
      </c>
      <c r="D40" s="52"/>
      <c r="E40" s="52"/>
      <c r="F40" s="73"/>
      <c r="H40" s="273">
        <f>+'Dados Gerais'!J135*'Dados Gerais'!K129*'Dados Operacionais'!H11</f>
        <v>0</v>
      </c>
      <c r="I40" s="272">
        <f>IF('Dados Operacionais'!$H$50=0,0,(H40/'Dados Operacionais'!$H$50))</f>
        <v>0</v>
      </c>
      <c r="J40" s="54">
        <f>IF('Dados Operacionais'!$H$14=0,0,(H40/'Dados Operacionais'!$H$14))</f>
        <v>0</v>
      </c>
    </row>
    <row r="41" spans="2:10" ht="15.75" customHeight="1" x14ac:dyDescent="0.2">
      <c r="B41" s="56"/>
      <c r="C41" s="52" t="s">
        <v>249</v>
      </c>
      <c r="D41" s="52"/>
      <c r="E41" s="52"/>
      <c r="F41" s="73"/>
      <c r="H41" s="273">
        <f>+'Dados Gerais'!J135*'Dados Gerais'!K129*'Dados Operacionais'!I11</f>
        <v>0</v>
      </c>
      <c r="I41" s="272">
        <f>IF('Dados Operacionais'!$I$50=0,0,(H41/'Dados Operacionais'!$I$50))</f>
        <v>0</v>
      </c>
      <c r="J41" s="54">
        <f>IF('Dados Operacionais'!$I$14=0,0,(H41/'Dados Operacionais'!$I$14))</f>
        <v>0</v>
      </c>
    </row>
    <row r="42" spans="2:10" ht="15.75" customHeight="1" x14ac:dyDescent="0.2">
      <c r="B42" s="56"/>
      <c r="C42" s="134" t="s">
        <v>251</v>
      </c>
      <c r="D42" s="52"/>
      <c r="E42" s="52"/>
      <c r="F42" s="73"/>
      <c r="H42" s="273">
        <f>+'Dados Gerais'!J135*'Dados Gerais'!K129*'Dados Operacionais'!J11</f>
        <v>0</v>
      </c>
      <c r="I42" s="272">
        <f>IF('Dados Operacionais'!$J$50=0,0,(H42/'Dados Operacionais'!$J$50))</f>
        <v>0</v>
      </c>
      <c r="J42" s="54">
        <f>IF('Dados Operacionais'!$J$14=0,0,(H42/'Dados Operacionais'!$J$14))</f>
        <v>0</v>
      </c>
    </row>
    <row r="43" spans="2:10" ht="15.75" customHeight="1" x14ac:dyDescent="0.2">
      <c r="C43" s="253" t="s">
        <v>83</v>
      </c>
      <c r="D43" s="253"/>
      <c r="E43" s="253"/>
      <c r="F43" s="254"/>
      <c r="G43" s="254"/>
      <c r="H43" s="256">
        <f>SUM(H39:H42)</f>
        <v>0</v>
      </c>
      <c r="I43" s="257">
        <f>IF('Dados Operacionais'!$K$50=0,0,('Custos Fixos'!H43/'Dados Operacionais'!$K$50))</f>
        <v>0</v>
      </c>
      <c r="J43" s="255">
        <f>IF('Dados Operacionais'!$K$14=0,0,(H43/'Dados Operacionais'!$K$14))</f>
        <v>0</v>
      </c>
    </row>
    <row r="44" spans="2:10" ht="15.75" customHeight="1" x14ac:dyDescent="0.2">
      <c r="C44" s="134"/>
      <c r="D44" s="134"/>
      <c r="E44" s="134"/>
      <c r="F44" s="119"/>
      <c r="G44" s="119"/>
      <c r="H44" s="315"/>
      <c r="I44" s="316"/>
      <c r="J44" s="315"/>
    </row>
    <row r="45" spans="2:10" ht="15.75" customHeight="1" x14ac:dyDescent="0.2">
      <c r="C45" s="134"/>
      <c r="D45" s="134"/>
      <c r="E45" s="134"/>
      <c r="F45" s="119"/>
      <c r="G45" s="119"/>
      <c r="H45" s="315"/>
      <c r="I45" s="316"/>
      <c r="J45" s="315"/>
    </row>
    <row r="46" spans="2:10" ht="18" customHeight="1" x14ac:dyDescent="0.2">
      <c r="B46" s="2" t="s">
        <v>188</v>
      </c>
      <c r="C46" s="5"/>
      <c r="D46" s="5"/>
      <c r="E46" s="5"/>
      <c r="F46" s="5"/>
      <c r="G46" s="5"/>
      <c r="H46" s="49"/>
      <c r="I46" s="5"/>
      <c r="J46" s="5"/>
    </row>
    <row r="47" spans="2:10" ht="15.75" customHeight="1" x14ac:dyDescent="0.2"/>
    <row r="48" spans="2:10" ht="15.75" customHeight="1" x14ac:dyDescent="0.2">
      <c r="B48" s="56"/>
      <c r="C48" s="562" t="s">
        <v>0</v>
      </c>
      <c r="D48" s="562"/>
      <c r="E48" s="562"/>
      <c r="F48" s="562"/>
      <c r="G48" s="562"/>
      <c r="H48" s="301" t="s">
        <v>65</v>
      </c>
      <c r="I48" s="249" t="s">
        <v>66</v>
      </c>
      <c r="J48" s="263" t="s">
        <v>67</v>
      </c>
    </row>
    <row r="49" spans="2:17" ht="15.75" customHeight="1" x14ac:dyDescent="0.2">
      <c r="B49" s="56"/>
      <c r="C49" s="52" t="s">
        <v>32</v>
      </c>
      <c r="E49" s="53"/>
      <c r="F49" s="73"/>
      <c r="H49" s="273">
        <f>'Dados Gerais'!J132</f>
        <v>0</v>
      </c>
      <c r="I49" s="272">
        <f>IF(('Dados Operacionais'!$H$50+'Dados Operacionais'!J50)=0,0,(H49/('Dados Operacionais'!$H$50+'Dados Operacionais'!J50)))</f>
        <v>0</v>
      </c>
      <c r="J49" s="54">
        <f>IF(('Dados Operacionais'!$H$14+'Dados Operacionais'!J14)=0,0,(H49/('Dados Operacionais'!$H$14+'Dados Operacionais'!J14)))</f>
        <v>0</v>
      </c>
    </row>
    <row r="50" spans="2:17" ht="15.75" customHeight="1" x14ac:dyDescent="0.2">
      <c r="B50" s="57"/>
      <c r="C50" s="52"/>
      <c r="E50" s="53"/>
      <c r="F50" s="73"/>
      <c r="H50" s="273"/>
      <c r="I50" s="272"/>
      <c r="J50" s="54"/>
    </row>
    <row r="51" spans="2:17" ht="15.75" customHeight="1" x14ac:dyDescent="0.2">
      <c r="B51" s="28"/>
      <c r="C51" s="253" t="s">
        <v>84</v>
      </c>
      <c r="D51" s="253"/>
      <c r="E51" s="253"/>
      <c r="F51" s="254"/>
      <c r="G51" s="254"/>
      <c r="H51" s="256">
        <f>SUM(H49:H50)</f>
        <v>0</v>
      </c>
      <c r="I51" s="257">
        <f>+I49</f>
        <v>0</v>
      </c>
      <c r="J51" s="255">
        <f>+J49</f>
        <v>0</v>
      </c>
    </row>
    <row r="52" spans="2:17" ht="15.75" customHeight="1" x14ac:dyDescent="0.2"/>
    <row r="53" spans="2:17" ht="15.75" customHeight="1" x14ac:dyDescent="0.2">
      <c r="B53" s="28"/>
      <c r="C53" s="43"/>
      <c r="D53" s="43"/>
      <c r="E53" s="43"/>
      <c r="F53" s="62"/>
      <c r="G53" s="62"/>
      <c r="H53" s="69"/>
      <c r="I53" s="41"/>
      <c r="J53" s="65"/>
    </row>
    <row r="54" spans="2:17" ht="18" customHeight="1" x14ac:dyDescent="0.2">
      <c r="B54" s="2" t="s">
        <v>189</v>
      </c>
      <c r="C54" s="5"/>
      <c r="D54" s="5"/>
      <c r="E54" s="5"/>
      <c r="F54" s="5"/>
      <c r="G54" s="5"/>
      <c r="H54" s="49"/>
      <c r="I54" s="5"/>
      <c r="J54" s="5"/>
    </row>
    <row r="55" spans="2:17" ht="18" customHeight="1" x14ac:dyDescent="0.2">
      <c r="B55" s="450"/>
      <c r="C55" s="436"/>
      <c r="D55" s="436"/>
      <c r="E55" s="436"/>
      <c r="F55" s="436"/>
      <c r="G55" s="436"/>
      <c r="H55" s="451"/>
      <c r="I55" s="436"/>
      <c r="J55" s="436"/>
    </row>
    <row r="56" spans="2:17" ht="18" customHeight="1" x14ac:dyDescent="0.2">
      <c r="B56" s="2" t="s">
        <v>190</v>
      </c>
      <c r="C56" s="5"/>
      <c r="D56" s="5"/>
      <c r="E56" s="5"/>
      <c r="F56" s="5"/>
      <c r="G56" s="5"/>
      <c r="H56" s="49"/>
      <c r="I56" s="5"/>
      <c r="J56" s="5"/>
    </row>
    <row r="57" spans="2:17" ht="15.75" customHeight="1" x14ac:dyDescent="0.2"/>
    <row r="58" spans="2:17" ht="15.75" customHeight="1" x14ac:dyDescent="0.2">
      <c r="B58" s="56"/>
      <c r="C58" s="562" t="s">
        <v>0</v>
      </c>
      <c r="D58" s="562"/>
      <c r="E58" s="562"/>
      <c r="F58" s="562"/>
      <c r="G58" s="562"/>
      <c r="H58" s="301" t="s">
        <v>65</v>
      </c>
      <c r="I58" s="249" t="s">
        <v>66</v>
      </c>
      <c r="J58" s="263" t="s">
        <v>67</v>
      </c>
      <c r="M58" s="240" t="s">
        <v>252</v>
      </c>
      <c r="N58" s="240" t="s">
        <v>250</v>
      </c>
      <c r="O58" s="240" t="s">
        <v>249</v>
      </c>
      <c r="P58" s="240" t="s">
        <v>251</v>
      </c>
      <c r="Q58" s="332" t="s">
        <v>1</v>
      </c>
    </row>
    <row r="59" spans="2:17" ht="15.75" customHeight="1" x14ac:dyDescent="0.2">
      <c r="B59" s="56"/>
      <c r="C59" s="52" t="s">
        <v>85</v>
      </c>
      <c r="D59" s="52"/>
      <c r="E59" s="52"/>
      <c r="F59" s="73"/>
      <c r="H59" s="273">
        <f>('Dados Gerais'!J138/12)*$Q$59</f>
        <v>0</v>
      </c>
      <c r="I59" s="272">
        <f>IF(('Dados Operacionais'!$H$50+'Dados Operacionais'!J50)=0,0,(H59/('Dados Operacionais'!$H$50+'Dados Operacionais'!J50)))</f>
        <v>0</v>
      </c>
      <c r="J59" s="54">
        <f>IF(('Dados Operacionais'!$H$14+'Dados Operacionais'!J14)=0,0,(H59/('Dados Operacionais'!$H$14+'Dados Operacionais'!J14)))</f>
        <v>0</v>
      </c>
      <c r="M59" s="333">
        <f>('Dados Gerais'!$H$48*'Dados Operacionais'!$G$14)</f>
        <v>0</v>
      </c>
      <c r="N59" s="333">
        <f>'Dados Gerais'!$I$48*'Dados Operacionais'!$H$14</f>
        <v>0</v>
      </c>
      <c r="O59" s="333">
        <f>+'Dados Gerais'!J48*'Dados Operacionais'!I14</f>
        <v>0</v>
      </c>
      <c r="P59" s="333">
        <f>+'Dados Gerais'!K48*'Dados Operacionais'!J14</f>
        <v>0</v>
      </c>
      <c r="Q59" s="74">
        <f>SUM(M59:P59)</f>
        <v>0</v>
      </c>
    </row>
    <row r="60" spans="2:17" ht="15.75" customHeight="1" x14ac:dyDescent="0.2">
      <c r="B60" s="57"/>
      <c r="C60" s="52"/>
      <c r="E60" s="53"/>
      <c r="F60" s="73"/>
      <c r="H60" s="273"/>
      <c r="I60" s="272"/>
      <c r="J60" s="54"/>
      <c r="M60" s="333">
        <f>('Dados Gerais'!$H$49*'Dados Operacionais'!$G$14)</f>
        <v>0</v>
      </c>
      <c r="N60" s="333">
        <f>'Dados Gerais'!$I$49*'Dados Operacionais'!$H$14</f>
        <v>0</v>
      </c>
      <c r="O60" s="333">
        <f>+'Dados Gerais'!J49*'Dados Operacionais'!I14</f>
        <v>0</v>
      </c>
      <c r="P60" s="333">
        <f>+'Dados Gerais'!K49*'Dados Operacionais'!J14</f>
        <v>0</v>
      </c>
      <c r="Q60" s="74">
        <f>SUM(M60:P60)</f>
        <v>0</v>
      </c>
    </row>
    <row r="61" spans="2:17" ht="15.75" customHeight="1" x14ac:dyDescent="0.2">
      <c r="B61" s="28"/>
      <c r="C61" s="253" t="s">
        <v>86</v>
      </c>
      <c r="D61" s="253"/>
      <c r="E61" s="253"/>
      <c r="F61" s="254"/>
      <c r="G61" s="254"/>
      <c r="H61" s="256">
        <f>SUM(H59:H60)</f>
        <v>0</v>
      </c>
      <c r="I61" s="257">
        <f>+I59</f>
        <v>0</v>
      </c>
      <c r="J61" s="255">
        <f>+J59</f>
        <v>0</v>
      </c>
    </row>
    <row r="62" spans="2:17" ht="15.75" customHeight="1" x14ac:dyDescent="0.2">
      <c r="B62" s="28"/>
      <c r="C62" s="43"/>
      <c r="D62" s="43"/>
      <c r="E62" s="43"/>
      <c r="F62" s="62"/>
      <c r="G62" s="62"/>
      <c r="H62" s="69"/>
      <c r="I62" s="41"/>
      <c r="J62" s="65"/>
    </row>
    <row r="63" spans="2:17" ht="15.75" customHeight="1" x14ac:dyDescent="0.2">
      <c r="B63" s="28"/>
      <c r="C63" s="43"/>
      <c r="D63" s="43"/>
      <c r="E63" s="43"/>
      <c r="F63" s="62"/>
      <c r="G63" s="62"/>
      <c r="H63" s="69"/>
      <c r="I63" s="41"/>
      <c r="J63" s="65"/>
    </row>
    <row r="64" spans="2:17" ht="18" customHeight="1" x14ac:dyDescent="0.2">
      <c r="B64" s="2" t="s">
        <v>281</v>
      </c>
      <c r="C64" s="5"/>
      <c r="D64" s="5"/>
      <c r="E64" s="5"/>
      <c r="F64" s="5"/>
      <c r="G64" s="5"/>
      <c r="H64" s="49"/>
      <c r="I64" s="5"/>
      <c r="J64" s="5"/>
    </row>
    <row r="65" spans="2:10" ht="15.75" customHeight="1" x14ac:dyDescent="0.2"/>
    <row r="66" spans="2:10" ht="15.75" customHeight="1" x14ac:dyDescent="0.2">
      <c r="B66" s="56"/>
      <c r="C66" s="562" t="s">
        <v>0</v>
      </c>
      <c r="D66" s="562"/>
      <c r="E66" s="562"/>
      <c r="F66" s="561" t="s">
        <v>87</v>
      </c>
      <c r="G66" s="559"/>
      <c r="H66" s="301" t="s">
        <v>65</v>
      </c>
      <c r="I66" s="249" t="s">
        <v>66</v>
      </c>
      <c r="J66" s="263" t="s">
        <v>67</v>
      </c>
    </row>
    <row r="67" spans="2:10" ht="15.75" customHeight="1" x14ac:dyDescent="0.2">
      <c r="B67" s="56"/>
      <c r="C67" s="52" t="s">
        <v>191</v>
      </c>
      <c r="D67" s="52"/>
      <c r="E67" s="53"/>
      <c r="F67" s="563">
        <f>'Dados Gerais'!$I$25/12</f>
        <v>0</v>
      </c>
      <c r="G67" s="564"/>
      <c r="H67" s="273">
        <f>+F67*'Dados Operacionais'!K14</f>
        <v>0</v>
      </c>
      <c r="I67" s="272">
        <f>IF('Dados Operacionais'!$K$50=0,0,(H67/'Dados Operacionais'!$K$50))</f>
        <v>0</v>
      </c>
      <c r="J67" s="54">
        <f>IF('Dados Operacionais'!$K$14=0,0,(H67/'Dados Operacionais'!$K$14))</f>
        <v>0</v>
      </c>
    </row>
    <row r="68" spans="2:10" ht="15.75" customHeight="1" x14ac:dyDescent="0.2">
      <c r="B68" s="57"/>
      <c r="C68" s="52" t="s">
        <v>192</v>
      </c>
      <c r="D68" s="52"/>
      <c r="E68" s="52"/>
      <c r="F68" s="563">
        <f>'Dados Gerais'!$I$26/12</f>
        <v>0</v>
      </c>
      <c r="G68" s="564"/>
      <c r="H68" s="273">
        <f>+F68*'Dados Operacionais'!K14</f>
        <v>0</v>
      </c>
      <c r="I68" s="272">
        <f>IF('Dados Operacionais'!$K$50=0,0,(H68/'Dados Operacionais'!$K$50))</f>
        <v>0</v>
      </c>
      <c r="J68" s="252">
        <f>IF('Dados Operacionais'!$K$14=0,0,(H68/'Dados Operacionais'!$K$14))</f>
        <v>0</v>
      </c>
    </row>
    <row r="69" spans="2:10" ht="15.75" customHeight="1" x14ac:dyDescent="0.2">
      <c r="B69" s="57"/>
      <c r="C69" s="52" t="s">
        <v>282</v>
      </c>
      <c r="D69" s="52"/>
      <c r="E69" s="52"/>
      <c r="F69" s="565">
        <f>+'Dados Gerais'!I27/12</f>
        <v>0</v>
      </c>
      <c r="G69" s="566"/>
      <c r="H69" s="273">
        <f>+F69*'Dados Operacionais'!K14</f>
        <v>0</v>
      </c>
      <c r="I69" s="272">
        <f>IF('Dados Operacionais'!$K$50=0,0,(H69/'Dados Operacionais'!$K$50))</f>
        <v>0</v>
      </c>
      <c r="J69" s="252">
        <f>IF('Dados Operacionais'!$K$14=0,0,(H69/'Dados Operacionais'!$K$14))</f>
        <v>0</v>
      </c>
    </row>
    <row r="70" spans="2:10" ht="15.75" customHeight="1" x14ac:dyDescent="0.2">
      <c r="B70" s="28"/>
      <c r="C70" s="253" t="s">
        <v>287</v>
      </c>
      <c r="D70" s="253"/>
      <c r="E70" s="265"/>
      <c r="F70" s="254"/>
      <c r="G70" s="254"/>
      <c r="H70" s="256">
        <f>SUM(H67:H69)</f>
        <v>0</v>
      </c>
      <c r="I70" s="257">
        <f>IF('Dados Operacionais'!$K$50=0,0,('Custos Fixos'!H70/'Dados Operacionais'!$K$50))</f>
        <v>0</v>
      </c>
      <c r="J70" s="255">
        <f>IF('Dados Operacionais'!$K$14=0,0,(H70/'Dados Operacionais'!$K$14))</f>
        <v>0</v>
      </c>
    </row>
    <row r="71" spans="2:10" ht="15.75" customHeight="1" x14ac:dyDescent="0.2">
      <c r="B71" s="28"/>
      <c r="C71" s="134"/>
      <c r="D71" s="134"/>
      <c r="E71" s="295"/>
      <c r="F71" s="119"/>
      <c r="G71" s="119"/>
      <c r="H71" s="315"/>
      <c r="I71" s="316"/>
      <c r="J71" s="315"/>
    </row>
    <row r="72" spans="2:10" ht="15.75" customHeight="1" x14ac:dyDescent="0.2">
      <c r="B72" s="28"/>
      <c r="C72" s="134"/>
      <c r="D72" s="134"/>
      <c r="E72" s="295"/>
      <c r="F72" s="119"/>
      <c r="G72" s="119"/>
      <c r="H72" s="315"/>
      <c r="I72" s="316"/>
      <c r="J72" s="315"/>
    </row>
    <row r="73" spans="2:10" ht="15.75" customHeight="1" x14ac:dyDescent="0.2">
      <c r="B73" s="2" t="s">
        <v>283</v>
      </c>
      <c r="C73" s="5"/>
      <c r="D73" s="5"/>
      <c r="E73" s="5"/>
      <c r="F73" s="5"/>
      <c r="G73" s="5"/>
      <c r="H73" s="49"/>
      <c r="I73" s="5"/>
      <c r="J73" s="5"/>
    </row>
    <row r="74" spans="2:10" ht="15.75" customHeight="1" x14ac:dyDescent="0.2"/>
    <row r="75" spans="2:10" ht="15.75" customHeight="1" x14ac:dyDescent="0.2">
      <c r="B75" s="56"/>
      <c r="C75" s="562" t="s">
        <v>0</v>
      </c>
      <c r="D75" s="562"/>
      <c r="E75" s="562"/>
      <c r="F75" s="561" t="s">
        <v>87</v>
      </c>
      <c r="G75" s="559"/>
      <c r="H75" s="301" t="s">
        <v>65</v>
      </c>
      <c r="I75" s="249" t="s">
        <v>66</v>
      </c>
      <c r="J75" s="263" t="s">
        <v>67</v>
      </c>
    </row>
    <row r="76" spans="2:10" ht="15.75" customHeight="1" x14ac:dyDescent="0.2">
      <c r="B76" s="56"/>
      <c r="C76" s="52" t="s">
        <v>289</v>
      </c>
      <c r="D76" s="52"/>
      <c r="E76" s="53"/>
      <c r="F76" s="563">
        <f>+'Dados Gerais'!I30</f>
        <v>0</v>
      </c>
      <c r="G76" s="564"/>
      <c r="H76" s="273">
        <f>+F76*('Dados Operacionais'!H14+'Dados Operacionais'!J14)</f>
        <v>0</v>
      </c>
      <c r="I76" s="272">
        <f>IF(('Dados Operacionais'!$H$50+'Dados Operacionais'!J50)=0,0,(H76/('Dados Operacionais'!$H$50+'Dados Operacionais'!J50)))</f>
        <v>0</v>
      </c>
      <c r="J76" s="54">
        <f>IF(('Dados Operacionais'!$H$14+'Dados Operacionais'!J14)=0,0,(H76/('Dados Operacionais'!$H$14+'Dados Operacionais'!J14)))</f>
        <v>0</v>
      </c>
    </row>
    <row r="77" spans="2:10" ht="15.75" customHeight="1" x14ac:dyDescent="0.2">
      <c r="B77" s="57"/>
      <c r="C77" s="52" t="s">
        <v>288</v>
      </c>
      <c r="D77" s="52"/>
      <c r="E77" s="52"/>
      <c r="F77" s="563">
        <f>+'Dados Gerais'!I31</f>
        <v>0</v>
      </c>
      <c r="G77" s="564"/>
      <c r="H77" s="273">
        <f>+F77*('Dados Operacionais'!H14+'Dados Operacionais'!J14)</f>
        <v>0</v>
      </c>
      <c r="I77" s="272">
        <f>IF(('Dados Operacionais'!$H$50+'Dados Operacionais'!J50)=0,0,(H77/('Dados Operacionais'!$H$50+'Dados Operacionais'!J50)))</f>
        <v>0</v>
      </c>
      <c r="J77" s="54">
        <f>IF(('Dados Operacionais'!$H$14+'Dados Operacionais'!J14)=0,0,(H77/('Dados Operacionais'!$H$14+'Dados Operacionais'!J14)))</f>
        <v>0</v>
      </c>
    </row>
    <row r="78" spans="2:10" ht="15.75" customHeight="1" x14ac:dyDescent="0.2">
      <c r="B78" s="57"/>
      <c r="C78" s="52" t="s">
        <v>284</v>
      </c>
      <c r="D78" s="52"/>
      <c r="E78" s="52"/>
      <c r="F78" s="563">
        <f>+'Dados Gerais'!I32</f>
        <v>0</v>
      </c>
      <c r="G78" s="564"/>
      <c r="H78" s="273">
        <f>+F78*'Dados Operacionais'!K14</f>
        <v>0</v>
      </c>
      <c r="I78" s="272">
        <f>IF(('Dados Operacionais'!$H$50+'Dados Operacionais'!J50)=0,0,(H78/('Dados Operacionais'!$H$50+'Dados Operacionais'!J50)))</f>
        <v>0</v>
      </c>
      <c r="J78" s="447">
        <f>IF(('Dados Operacionais'!$H$14+'Dados Operacionais'!J14)=0,0,(H78/('Dados Operacionais'!$H$14+'Dados Operacionais'!J14)))</f>
        <v>0</v>
      </c>
    </row>
    <row r="79" spans="2:10" ht="15.75" customHeight="1" x14ac:dyDescent="0.2">
      <c r="B79" s="57"/>
      <c r="C79" s="52" t="s">
        <v>285</v>
      </c>
      <c r="D79" s="52"/>
      <c r="E79" s="52"/>
      <c r="F79" s="565">
        <f>+'Dados Gerais'!I33</f>
        <v>0</v>
      </c>
      <c r="G79" s="566"/>
      <c r="H79" s="273">
        <f>+F79*'Dados Operacionais'!K14</f>
        <v>0</v>
      </c>
      <c r="I79" s="272">
        <f>IF(('Dados Operacionais'!$H$50+'Dados Operacionais'!J50)=0,0,(H79/('Dados Operacionais'!$H$50+'Dados Operacionais'!J50)))</f>
        <v>0</v>
      </c>
      <c r="J79" s="518">
        <f>IF(('Dados Operacionais'!$H$14+'Dados Operacionais'!J14)=0,0,(H79/('Dados Operacionais'!$H$14+'Dados Operacionais'!J14)))</f>
        <v>0</v>
      </c>
    </row>
    <row r="80" spans="2:10" ht="15.75" customHeight="1" x14ac:dyDescent="0.2">
      <c r="B80" s="28"/>
      <c r="C80" s="253" t="s">
        <v>286</v>
      </c>
      <c r="D80" s="253"/>
      <c r="E80" s="265"/>
      <c r="F80" s="254"/>
      <c r="G80" s="254"/>
      <c r="H80" s="256">
        <f>SUM(H76:H79)</f>
        <v>0</v>
      </c>
      <c r="I80" s="257">
        <f>IF(('Dados Operacionais'!$H$50+'Dados Operacionais'!J50)=0,0,(H80/('Dados Operacionais'!$H$50+'Dados Operacionais'!J50)))</f>
        <v>0</v>
      </c>
      <c r="J80" s="393">
        <f>IF(('Dados Operacionais'!$H$14+'Dados Operacionais'!J14)=0,0,(H80/('Dados Operacionais'!$H$14+'Dados Operacionais'!J14)))</f>
        <v>0</v>
      </c>
    </row>
    <row r="81" spans="2:10" ht="15.75" customHeight="1" x14ac:dyDescent="0.2">
      <c r="B81" s="28"/>
      <c r="C81" s="134"/>
      <c r="D81" s="134"/>
      <c r="E81" s="295"/>
      <c r="F81" s="119"/>
      <c r="G81" s="540"/>
      <c r="H81" s="315"/>
      <c r="I81" s="316"/>
      <c r="J81" s="315"/>
    </row>
    <row r="82" spans="2:10" ht="15.75" customHeight="1" x14ac:dyDescent="0.2">
      <c r="B82" s="28"/>
      <c r="C82" s="134"/>
      <c r="D82" s="134"/>
      <c r="E82" s="295"/>
      <c r="F82" s="119"/>
      <c r="G82" s="119"/>
      <c r="H82" s="315"/>
      <c r="I82" s="316"/>
      <c r="J82" s="315"/>
    </row>
    <row r="83" spans="2:10" ht="15.75" customHeight="1" x14ac:dyDescent="0.2">
      <c r="B83" s="2" t="s">
        <v>290</v>
      </c>
      <c r="C83" s="5"/>
      <c r="D83" s="5"/>
      <c r="E83" s="5"/>
      <c r="F83" s="5"/>
      <c r="G83" s="5"/>
      <c r="H83" s="49"/>
      <c r="I83" s="5"/>
      <c r="J83" s="5"/>
    </row>
    <row r="84" spans="2:10" ht="15.75" customHeight="1" x14ac:dyDescent="0.2"/>
    <row r="85" spans="2:10" ht="15.75" customHeight="1" x14ac:dyDescent="0.2">
      <c r="B85" s="56"/>
      <c r="C85" s="562" t="s">
        <v>0</v>
      </c>
      <c r="D85" s="562"/>
      <c r="E85" s="562"/>
      <c r="F85" s="561" t="s">
        <v>87</v>
      </c>
      <c r="G85" s="559"/>
      <c r="H85" s="301" t="s">
        <v>65</v>
      </c>
      <c r="I85" s="249" t="s">
        <v>66</v>
      </c>
      <c r="J85" s="263" t="s">
        <v>67</v>
      </c>
    </row>
    <row r="86" spans="2:10" ht="15.75" customHeight="1" x14ac:dyDescent="0.2">
      <c r="B86" s="56"/>
      <c r="C86" s="52" t="s">
        <v>293</v>
      </c>
      <c r="D86" s="52"/>
      <c r="E86" s="53"/>
      <c r="F86" s="563">
        <f>+'Dados Gerais'!I36</f>
        <v>0</v>
      </c>
      <c r="G86" s="564"/>
      <c r="H86" s="273">
        <f>+F86*('Dados Operacionais'!H14+'Dados Operacionais'!J14)</f>
        <v>0</v>
      </c>
      <c r="I86" s="272">
        <f>IF(('Dados Operacionais'!$H$50+'Dados Operacionais'!J50)=0,0,(H86/('Dados Operacionais'!$H$50+'Dados Operacionais'!J50)))</f>
        <v>0</v>
      </c>
      <c r="J86" s="516">
        <f>IF(('Dados Operacionais'!$H$14+'Dados Operacionais'!J14)=0,0,(H86/('Dados Operacionais'!$H$14+'Dados Operacionais'!J14)))</f>
        <v>0</v>
      </c>
    </row>
    <row r="87" spans="2:10" ht="15.75" customHeight="1" x14ac:dyDescent="0.2">
      <c r="B87" s="57"/>
      <c r="C87" s="52" t="s">
        <v>294</v>
      </c>
      <c r="D87" s="52"/>
      <c r="E87" s="52"/>
      <c r="F87" s="563">
        <f>+'Dados Gerais'!I37</f>
        <v>0</v>
      </c>
      <c r="G87" s="564"/>
      <c r="H87" s="273">
        <f>+F87*('Dados Operacionais'!H14+'Dados Operacionais'!J14)</f>
        <v>0</v>
      </c>
      <c r="I87" s="272">
        <f>IF(('Dados Operacionais'!$H$50+'Dados Operacionais'!J50)=0,0,(H87/('Dados Operacionais'!$H$50+'Dados Operacionais'!J50)))</f>
        <v>0</v>
      </c>
      <c r="J87" s="516">
        <f>IF(('Dados Operacionais'!$H$14+'Dados Operacionais'!J14)=0,0,(H87/('Dados Operacionais'!$H$14+'Dados Operacionais'!J14)))</f>
        <v>0</v>
      </c>
    </row>
    <row r="88" spans="2:10" ht="15.75" customHeight="1" x14ac:dyDescent="0.2">
      <c r="B88" s="28"/>
      <c r="C88" s="253" t="s">
        <v>291</v>
      </c>
      <c r="D88" s="253"/>
      <c r="E88" s="265"/>
      <c r="F88" s="254"/>
      <c r="G88" s="254"/>
      <c r="H88" s="256">
        <f>SUM(H86:H87)</f>
        <v>0</v>
      </c>
      <c r="I88" s="517">
        <f>IF(('Dados Operacionais'!H$50+'Dados Operacionais'!J50)=0,0,(H88/('Dados Operacionais'!$H$50+'Dados Operacionais'!J50)))</f>
        <v>0</v>
      </c>
      <c r="J88" s="393">
        <f>IF(('Dados Operacionais'!$H$14+'Dados Operacionais'!J14)=0,0,(H88/('Dados Operacionais'!$H$14+'Dados Operacionais'!J14)))</f>
        <v>0</v>
      </c>
    </row>
    <row r="89" spans="2:10" ht="15.75" customHeight="1" x14ac:dyDescent="0.2">
      <c r="G89" s="74"/>
      <c r="H89" s="71"/>
    </row>
    <row r="90" spans="2:10" ht="15" customHeight="1" x14ac:dyDescent="0.2">
      <c r="J90" s="142" t="s">
        <v>148</v>
      </c>
    </row>
    <row r="91" spans="2:10" ht="15" customHeight="1" x14ac:dyDescent="0.2"/>
    <row r="92" spans="2:10" ht="15" customHeight="1" x14ac:dyDescent="0.2"/>
    <row r="93" spans="2:10" ht="13.35" customHeight="1" x14ac:dyDescent="0.2">
      <c r="C93" s="177"/>
    </row>
    <row r="94" spans="2:10" ht="13.35" customHeight="1" x14ac:dyDescent="0.2">
      <c r="C94" s="177"/>
    </row>
    <row r="95" spans="2:10" ht="13.35" customHeight="1" x14ac:dyDescent="0.2">
      <c r="C95" s="177"/>
      <c r="I95" s="446"/>
    </row>
  </sheetData>
  <mergeCells count="21">
    <mergeCell ref="F87:G87"/>
    <mergeCell ref="F76:G76"/>
    <mergeCell ref="F79:G79"/>
    <mergeCell ref="C85:E85"/>
    <mergeCell ref="F85:G85"/>
    <mergeCell ref="F86:G86"/>
    <mergeCell ref="C10:G10"/>
    <mergeCell ref="C22:G22"/>
    <mergeCell ref="C30:G30"/>
    <mergeCell ref="C38:G38"/>
    <mergeCell ref="F66:G66"/>
    <mergeCell ref="C48:G48"/>
    <mergeCell ref="C58:G58"/>
    <mergeCell ref="C66:E66"/>
    <mergeCell ref="C75:E75"/>
    <mergeCell ref="F75:G75"/>
    <mergeCell ref="F68:G68"/>
    <mergeCell ref="F67:G67"/>
    <mergeCell ref="F78:G78"/>
    <mergeCell ref="F77:G77"/>
    <mergeCell ref="F69:G69"/>
  </mergeCells>
  <phoneticPr fontId="0" type="noConversion"/>
  <hyperlinks>
    <hyperlink ref="J90" location="'CP-2'!A1" display="Volta"/>
  </hyperlinks>
  <printOptions horizontalCentered="1"/>
  <pageMargins left="0.78740157480314965" right="0.39370078740157483" top="0.39370078740157483" bottom="0.19685039370078741" header="0.59055118110236227" footer="0.51181102362204722"/>
  <pageSetup paperSize="9" scale="57" orientation="portrait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1:V62"/>
  <sheetViews>
    <sheetView showGridLines="0" zoomScale="90" workbookViewId="0">
      <selection activeCell="C2" sqref="C2"/>
    </sheetView>
  </sheetViews>
  <sheetFormatPr defaultColWidth="9.140625" defaultRowHeight="13.35" customHeight="1" outlineLevelCol="1" x14ac:dyDescent="0.2"/>
  <cols>
    <col min="1" max="1" width="0.85546875" style="3" customWidth="1"/>
    <col min="2" max="2" width="1.85546875" style="3" customWidth="1"/>
    <col min="3" max="3" width="12" style="3" customWidth="1"/>
    <col min="4" max="5" width="6.42578125" style="3" customWidth="1"/>
    <col min="6" max="6" width="5.140625" style="3" customWidth="1"/>
    <col min="7" max="8" width="8" style="3" customWidth="1"/>
    <col min="9" max="9" width="7.140625" style="3" customWidth="1"/>
    <col min="10" max="10" width="8.140625" style="3" customWidth="1"/>
    <col min="11" max="11" width="8" style="3" customWidth="1"/>
    <col min="12" max="12" width="11.140625" style="3" customWidth="1"/>
    <col min="13" max="13" width="12.5703125" style="3" customWidth="1"/>
    <col min="14" max="14" width="9.85546875" style="46" customWidth="1"/>
    <col min="15" max="15" width="12.140625" style="3" customWidth="1"/>
    <col min="16" max="16" width="9.85546875" style="3" bestFit="1" customWidth="1"/>
    <col min="17" max="18" width="9.140625" style="3" hidden="1" customWidth="1" outlineLevel="1"/>
    <col min="19" max="19" width="24.7109375" style="3" customWidth="1" collapsed="1"/>
    <col min="20" max="16384" width="9.140625" style="3"/>
  </cols>
  <sheetData>
    <row r="1" spans="2:19" ht="18" customHeight="1" x14ac:dyDescent="0.2"/>
    <row r="2" spans="2:19" ht="18" customHeight="1" x14ac:dyDescent="0.2">
      <c r="B2" s="2" t="s">
        <v>193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9"/>
      <c r="O2" s="5"/>
    </row>
    <row r="3" spans="2:19" ht="15.75" customHeight="1" x14ac:dyDescent="0.2"/>
    <row r="4" spans="2:19" ht="15.75" customHeight="1" x14ac:dyDescent="0.2">
      <c r="C4" s="562" t="s">
        <v>0</v>
      </c>
      <c r="D4" s="562"/>
      <c r="E4" s="562"/>
      <c r="F4" s="562"/>
      <c r="G4" s="562"/>
      <c r="H4" s="562"/>
      <c r="I4" s="562"/>
      <c r="J4" s="562"/>
      <c r="K4" s="562"/>
      <c r="L4" s="394" t="s">
        <v>252</v>
      </c>
      <c r="M4" s="394" t="s">
        <v>250</v>
      </c>
      <c r="N4" s="394" t="s">
        <v>249</v>
      </c>
      <c r="O4" s="394" t="s">
        <v>251</v>
      </c>
    </row>
    <row r="5" spans="2:19" ht="15" customHeight="1" x14ac:dyDescent="0.2">
      <c r="C5" s="75" t="s">
        <v>88</v>
      </c>
      <c r="E5" s="53"/>
      <c r="G5" s="76"/>
      <c r="L5" s="275">
        <f>'Dados Gerais'!H94</f>
        <v>0</v>
      </c>
      <c r="M5" s="275">
        <f>'Dados Gerais'!I94</f>
        <v>0</v>
      </c>
      <c r="N5" s="275">
        <f>'Dados Gerais'!J94</f>
        <v>0</v>
      </c>
      <c r="O5" s="343" t="str">
        <f>IF('Dados Gerais'!K94=0,"-",'Dados Gerais'!K94)</f>
        <v>-</v>
      </c>
    </row>
    <row r="6" spans="2:19" ht="15" customHeight="1" x14ac:dyDescent="0.2">
      <c r="C6" s="307" t="s">
        <v>89</v>
      </c>
      <c r="D6" s="222"/>
      <c r="E6" s="270"/>
      <c r="F6" s="222"/>
      <c r="G6" s="274"/>
      <c r="H6" s="222"/>
      <c r="I6" s="222"/>
      <c r="J6" s="222"/>
      <c r="K6" s="222"/>
      <c r="L6" s="276">
        <v>0</v>
      </c>
      <c r="M6" s="276" t="str">
        <f>+O6</f>
        <v>-</v>
      </c>
      <c r="N6" s="276">
        <v>0</v>
      </c>
      <c r="O6" s="304" t="str">
        <f>IF(O5="-","-",'Dados Gerais'!$J$107)</f>
        <v>-</v>
      </c>
      <c r="P6" s="119"/>
    </row>
    <row r="7" spans="2:19" ht="15" customHeight="1" x14ac:dyDescent="0.2">
      <c r="C7" s="77" t="s">
        <v>144</v>
      </c>
      <c r="D7" s="77"/>
      <c r="E7" s="53"/>
      <c r="N7" s="54"/>
      <c r="O7" s="54"/>
    </row>
    <row r="8" spans="2:19" ht="15" customHeight="1" x14ac:dyDescent="0.2">
      <c r="C8" s="78" t="s">
        <v>143</v>
      </c>
      <c r="E8" s="58"/>
      <c r="N8" s="79"/>
      <c r="O8" s="79"/>
    </row>
    <row r="9" spans="2:19" ht="15" customHeight="1" x14ac:dyDescent="0.2">
      <c r="H9" s="80"/>
    </row>
    <row r="10" spans="2:19" ht="15" customHeight="1" x14ac:dyDescent="0.2">
      <c r="H10" s="80"/>
      <c r="L10" s="396"/>
    </row>
    <row r="11" spans="2:19" ht="15" customHeight="1" x14ac:dyDescent="0.2">
      <c r="H11" s="80"/>
    </row>
    <row r="12" spans="2:19" ht="15.75" customHeight="1" x14ac:dyDescent="0.2">
      <c r="B12" s="2" t="s">
        <v>194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9"/>
      <c r="O12" s="5"/>
    </row>
    <row r="13" spans="2:19" ht="8.1" customHeight="1" x14ac:dyDescent="0.2">
      <c r="H13" s="80"/>
      <c r="I13" s="80"/>
    </row>
    <row r="14" spans="2:19" ht="15.75" customHeight="1" x14ac:dyDescent="0.2">
      <c r="C14" s="585" t="s">
        <v>90</v>
      </c>
      <c r="D14" s="586"/>
      <c r="E14" s="586"/>
      <c r="F14" s="586"/>
      <c r="G14" s="586"/>
      <c r="H14" s="586" t="s">
        <v>91</v>
      </c>
      <c r="I14" s="586"/>
      <c r="J14" s="586"/>
      <c r="K14" s="586"/>
      <c r="L14" s="587" t="s">
        <v>92</v>
      </c>
      <c r="M14" s="587"/>
      <c r="N14" s="587"/>
      <c r="O14" s="588"/>
      <c r="S14" s="415"/>
    </row>
    <row r="15" spans="2:19" ht="15.75" customHeight="1" x14ac:dyDescent="0.2">
      <c r="C15" s="336" t="s">
        <v>93</v>
      </c>
      <c r="D15" s="277" t="s">
        <v>2</v>
      </c>
      <c r="E15" s="277" t="s">
        <v>250</v>
      </c>
      <c r="F15" s="277" t="s">
        <v>249</v>
      </c>
      <c r="G15" s="277" t="s">
        <v>258</v>
      </c>
      <c r="H15" s="277" t="s">
        <v>2</v>
      </c>
      <c r="I15" s="277" t="s">
        <v>250</v>
      </c>
      <c r="J15" s="277" t="s">
        <v>249</v>
      </c>
      <c r="K15" s="277" t="s">
        <v>258</v>
      </c>
      <c r="L15" s="277" t="s">
        <v>2</v>
      </c>
      <c r="M15" s="277" t="s">
        <v>250</v>
      </c>
      <c r="N15" s="277" t="s">
        <v>249</v>
      </c>
      <c r="O15" s="277" t="s">
        <v>258</v>
      </c>
      <c r="S15" s="44"/>
    </row>
    <row r="16" spans="2:19" ht="15" customHeight="1" x14ac:dyDescent="0.2">
      <c r="C16" s="337" t="s">
        <v>48</v>
      </c>
      <c r="D16" s="278">
        <f>'Dados Operacionais'!$G$25</f>
        <v>0</v>
      </c>
      <c r="E16" s="278">
        <f>'Dados Operacionais'!$H$25</f>
        <v>0</v>
      </c>
      <c r="F16" s="278">
        <f>'Dados Operacionais'!$I$25</f>
        <v>0</v>
      </c>
      <c r="G16" s="278">
        <f>'Dados Operacionais'!$J$25</f>
        <v>0</v>
      </c>
      <c r="H16" s="281">
        <f>IF('Dados Gerais'!H74=0,0,IF('Dados Gerais'!H94=0,0,('Dados Gerais'!H74/'Dados Gerais'!$D$91*((100%-L$5)))))</f>
        <v>0</v>
      </c>
      <c r="I16" s="281">
        <f>IF('Dados Gerais'!I74=0,0,IF('Dados Gerais'!I94=0,0,('Dados Gerais'!I74/'Dados Gerais'!$F$91*((100%-M$5)))))</f>
        <v>0</v>
      </c>
      <c r="J16" s="281">
        <f>IF('Dados Gerais'!J74=0,0,IF('Dados Gerais'!J94=0,0,('Dados Gerais'!J74/'Dados Gerais'!$H$91*((100%-N$5)))))</f>
        <v>0</v>
      </c>
      <c r="K16" s="281">
        <f>IF('Dados Gerais'!K74=0,0,IF('Dados Gerais'!K94=0,0,('Dados Gerais'!K74/'Dados Gerais'!$J$91*((100%-O$5)))))</f>
        <v>0</v>
      </c>
      <c r="L16" s="284">
        <f>D16*H16*'Dados Gerais'!H$49*('Dados Gerais'!$K$14/'Dados Gerais'!$E$14)</f>
        <v>0</v>
      </c>
      <c r="M16" s="284">
        <f>(E16*I16*'Dados Gerais'!I$49)/12</f>
        <v>0</v>
      </c>
      <c r="N16" s="284">
        <f>(F16*J16*'Dados Gerais'!J$49)/12</f>
        <v>0</v>
      </c>
      <c r="O16" s="284">
        <f>(G16*K16*'Dados Gerais'!K$49)/12</f>
        <v>0</v>
      </c>
      <c r="S16" s="44"/>
    </row>
    <row r="17" spans="3:22" ht="15" customHeight="1" x14ac:dyDescent="0.2">
      <c r="C17" s="339" t="s">
        <v>49</v>
      </c>
      <c r="D17" s="279">
        <f>'Dados Operacionais'!G26</f>
        <v>0</v>
      </c>
      <c r="E17" s="279">
        <f>'Dados Operacionais'!H26</f>
        <v>0</v>
      </c>
      <c r="F17" s="279">
        <f>'Dados Operacionais'!I26</f>
        <v>0</v>
      </c>
      <c r="G17" s="279">
        <f>'Dados Operacionais'!J26</f>
        <v>0</v>
      </c>
      <c r="H17" s="282">
        <f>IF(H16&lt;=0,0,('Dados Gerais'!D77/'Dados Gerais'!$D$91*((100%-L$5))))</f>
        <v>0</v>
      </c>
      <c r="I17" s="282">
        <f>IF(I16&lt;=0,0,('Dados Gerais'!F77/'Dados Gerais'!$F$91*((100%-M$5))))</f>
        <v>0</v>
      </c>
      <c r="J17" s="282">
        <f>IF(J16&lt;=0,0,('Dados Gerais'!H77/'Dados Gerais'!$H$91*((100%-N$5))))</f>
        <v>0</v>
      </c>
      <c r="K17" s="282">
        <f>IF(K16&lt;=0,0,('Dados Gerais'!J77/'Dados Gerais'!$J$91*((100%-O$5))))</f>
        <v>0</v>
      </c>
      <c r="L17" s="285">
        <f>D17*H17*'Dados Gerais'!H$49*('Dados Gerais'!$K$14/'Dados Gerais'!$E$14)</f>
        <v>0</v>
      </c>
      <c r="M17" s="285">
        <f>(E17*I17*'Dados Gerais'!I$49)/12</f>
        <v>0</v>
      </c>
      <c r="N17" s="285">
        <f>(F17*J17*'Dados Gerais'!J$49)/12</f>
        <v>0</v>
      </c>
      <c r="O17" s="285">
        <f>(G17*K17*'Dados Gerais'!K$49)/12</f>
        <v>0</v>
      </c>
      <c r="S17" s="415"/>
    </row>
    <row r="18" spans="3:22" ht="15" customHeight="1" x14ac:dyDescent="0.2">
      <c r="C18" s="339" t="s">
        <v>50</v>
      </c>
      <c r="D18" s="279">
        <f>'Dados Operacionais'!G27</f>
        <v>0</v>
      </c>
      <c r="E18" s="279">
        <f>'Dados Operacionais'!H27</f>
        <v>0</v>
      </c>
      <c r="F18" s="279">
        <f>'Dados Operacionais'!I27</f>
        <v>0</v>
      </c>
      <c r="G18" s="279">
        <f>'Dados Operacionais'!J27</f>
        <v>0</v>
      </c>
      <c r="H18" s="282">
        <f>IF(H17&lt;=0,0,('Dados Gerais'!D78/'Dados Gerais'!$D$91*((100%-L$5))))</f>
        <v>0</v>
      </c>
      <c r="I18" s="282">
        <f>IF(I17&lt;=0,0,('Dados Gerais'!F78/'Dados Gerais'!$F$91*((100%-M$5))))</f>
        <v>0</v>
      </c>
      <c r="J18" s="282">
        <f>IF(J17&lt;=0,0,('Dados Gerais'!H78/'Dados Gerais'!$H$91*((100%-N$5))))</f>
        <v>0</v>
      </c>
      <c r="K18" s="282">
        <f>IF(K17&lt;=0,0,('Dados Gerais'!J78/'Dados Gerais'!$J$91*((100%-O$5))))</f>
        <v>0</v>
      </c>
      <c r="L18" s="285">
        <f>D18*H18*'Dados Gerais'!H$49*('Dados Gerais'!$K$14/'Dados Gerais'!$E$14)</f>
        <v>0</v>
      </c>
      <c r="M18" s="285">
        <f>(E18*I18*'Dados Gerais'!I$49)/12</f>
        <v>0</v>
      </c>
      <c r="N18" s="285">
        <f>(F18*J18*'Dados Gerais'!J$49)/12</f>
        <v>0</v>
      </c>
      <c r="O18" s="285">
        <f>(G18*K18*'Dados Gerais'!K$49)/12</f>
        <v>0</v>
      </c>
      <c r="S18" s="415"/>
      <c r="T18" s="467"/>
      <c r="V18" s="467"/>
    </row>
    <row r="19" spans="3:22" ht="15" customHeight="1" x14ac:dyDescent="0.2">
      <c r="C19" s="339" t="s">
        <v>51</v>
      </c>
      <c r="D19" s="279">
        <f>'Dados Operacionais'!G28</f>
        <v>0</v>
      </c>
      <c r="E19" s="279">
        <f>'Dados Operacionais'!H28</f>
        <v>0</v>
      </c>
      <c r="F19" s="279">
        <f>'Dados Operacionais'!I28</f>
        <v>0</v>
      </c>
      <c r="G19" s="279">
        <f>'Dados Operacionais'!J28</f>
        <v>0</v>
      </c>
      <c r="H19" s="282">
        <f>IF(H18&lt;=0,0,('Dados Gerais'!D79/'Dados Gerais'!$D$91*((100%-L$5))))</f>
        <v>0</v>
      </c>
      <c r="I19" s="282">
        <f>IF(I18&lt;=0,0,('Dados Gerais'!F79/'Dados Gerais'!$F$91*((100%-M$5))))</f>
        <v>0</v>
      </c>
      <c r="J19" s="282">
        <f>IF(J18&lt;=0,0,('Dados Gerais'!H79/'Dados Gerais'!$H$91*((100%-N$5))))</f>
        <v>0</v>
      </c>
      <c r="K19" s="282">
        <f>IF(K18&lt;=0,0,('Dados Gerais'!J79/'Dados Gerais'!$J$91*((100%-O$5))))</f>
        <v>0</v>
      </c>
      <c r="L19" s="285">
        <f>D19*H19*'Dados Gerais'!H$49*('Dados Gerais'!$K$14/'Dados Gerais'!$E$14)</f>
        <v>0</v>
      </c>
      <c r="M19" s="285">
        <f>(E19*I19*'Dados Gerais'!I$49)/12</f>
        <v>0</v>
      </c>
      <c r="N19" s="285">
        <f>(F19*J19*'Dados Gerais'!J$49)/12</f>
        <v>0</v>
      </c>
      <c r="O19" s="285">
        <f>(G19*K19*'Dados Gerais'!K$49)/12</f>
        <v>0</v>
      </c>
      <c r="S19" s="415"/>
      <c r="T19" s="467"/>
      <c r="V19" s="467"/>
    </row>
    <row r="20" spans="3:22" ht="15" customHeight="1" x14ac:dyDescent="0.2">
      <c r="C20" s="339" t="s">
        <v>52</v>
      </c>
      <c r="D20" s="279">
        <f>'Dados Operacionais'!G29</f>
        <v>0</v>
      </c>
      <c r="E20" s="279">
        <f>'Dados Operacionais'!H29</f>
        <v>0</v>
      </c>
      <c r="F20" s="279">
        <f>'Dados Operacionais'!I29</f>
        <v>0</v>
      </c>
      <c r="G20" s="279">
        <f>'Dados Operacionais'!J29</f>
        <v>0</v>
      </c>
      <c r="H20" s="282">
        <f>IF(H19&lt;=0,0,('Dados Gerais'!D80/'Dados Gerais'!$D$91*((100%-L$5))))</f>
        <v>0</v>
      </c>
      <c r="I20" s="282">
        <f>IF(I19&lt;=0,0,('Dados Gerais'!F80/'Dados Gerais'!$F$91*((100%-M$5))))</f>
        <v>0</v>
      </c>
      <c r="J20" s="282">
        <f>IF(J19&lt;=0,0,('Dados Gerais'!H80/'Dados Gerais'!$H$91*((100%-N$5))))</f>
        <v>0</v>
      </c>
      <c r="K20" s="282">
        <f>IF(K19&lt;=0,0,('Dados Gerais'!J80/'Dados Gerais'!$J$91*((100%-O$5))))</f>
        <v>0</v>
      </c>
      <c r="L20" s="285">
        <f>D20*H20*'Dados Gerais'!H$49*('Dados Gerais'!$K$14/'Dados Gerais'!$E$14)</f>
        <v>0</v>
      </c>
      <c r="M20" s="285">
        <f>(E20*I20*'Dados Gerais'!I$49)/12</f>
        <v>0</v>
      </c>
      <c r="N20" s="285">
        <f>(F20*J20*'Dados Gerais'!J$49)/12</f>
        <v>0</v>
      </c>
      <c r="O20" s="285">
        <f>(G20*K20*'Dados Gerais'!K$49)/12</f>
        <v>0</v>
      </c>
      <c r="S20" s="415"/>
      <c r="T20" s="467"/>
      <c r="V20" s="467"/>
    </row>
    <row r="21" spans="3:22" ht="15" customHeight="1" x14ac:dyDescent="0.2">
      <c r="C21" s="339" t="s">
        <v>53</v>
      </c>
      <c r="D21" s="279">
        <f>'Dados Operacionais'!G30</f>
        <v>0</v>
      </c>
      <c r="E21" s="279">
        <f>'Dados Operacionais'!H30</f>
        <v>0</v>
      </c>
      <c r="F21" s="279">
        <f>'Dados Operacionais'!I30</f>
        <v>0</v>
      </c>
      <c r="G21" s="279">
        <f>'Dados Operacionais'!J30</f>
        <v>0</v>
      </c>
      <c r="H21" s="282">
        <f>IF(H20&lt;=0,0,('Dados Gerais'!D81/'Dados Gerais'!$D$91*((100%-L$5))))</f>
        <v>0</v>
      </c>
      <c r="I21" s="282">
        <f>IF(I20&lt;=0,0,('Dados Gerais'!F81/'Dados Gerais'!$F$91*((100%-M$5))))</f>
        <v>0</v>
      </c>
      <c r="J21" s="282">
        <f>IF(J20&lt;=0,0,('Dados Gerais'!H81/'Dados Gerais'!$H$91*((100%-N$5))))</f>
        <v>0</v>
      </c>
      <c r="K21" s="282">
        <f>IF(K20&lt;=0,0,('Dados Gerais'!J81/'Dados Gerais'!$J$91*((100%-O$5))))</f>
        <v>0</v>
      </c>
      <c r="L21" s="285">
        <f>D21*H21*'Dados Gerais'!H$49*('Dados Gerais'!$K$14/'Dados Gerais'!$E$14)</f>
        <v>0</v>
      </c>
      <c r="M21" s="285">
        <f>(E21*I21*'Dados Gerais'!I$49)/12</f>
        <v>0</v>
      </c>
      <c r="N21" s="285">
        <f>(F21*J21*'Dados Gerais'!J$49)/12</f>
        <v>0</v>
      </c>
      <c r="O21" s="285">
        <f>(G21*K21*'Dados Gerais'!K$49)/12</f>
        <v>0</v>
      </c>
      <c r="T21" s="467"/>
      <c r="V21" s="467"/>
    </row>
    <row r="22" spans="3:22" ht="15" customHeight="1" x14ac:dyDescent="0.2">
      <c r="C22" s="339" t="s">
        <v>54</v>
      </c>
      <c r="D22" s="279">
        <f>'Dados Operacionais'!G31</f>
        <v>0</v>
      </c>
      <c r="E22" s="279">
        <f>'Dados Operacionais'!H31</f>
        <v>0</v>
      </c>
      <c r="F22" s="279">
        <f>'Dados Operacionais'!I31</f>
        <v>0</v>
      </c>
      <c r="G22" s="279">
        <f>'Dados Operacionais'!J31</f>
        <v>0</v>
      </c>
      <c r="H22" s="282">
        <f>IF(H21&lt;=0,0,('Dados Gerais'!D82/'Dados Gerais'!$D$91*((100%-L$5))))</f>
        <v>0</v>
      </c>
      <c r="I22" s="282">
        <f>IF(I21&lt;=0,0,('Dados Gerais'!F82/'Dados Gerais'!$F$91*((100%-M$5))))</f>
        <v>0</v>
      </c>
      <c r="J22" s="282">
        <f>IF(J21&lt;=0,0,('Dados Gerais'!H82/'Dados Gerais'!$H$91*((100%-N$5))))</f>
        <v>0</v>
      </c>
      <c r="K22" s="282">
        <f>IF(K21&lt;=0,0,('Dados Gerais'!J82/'Dados Gerais'!$J$91*((100%-O$5))))</f>
        <v>0</v>
      </c>
      <c r="L22" s="285">
        <f>D22*H22*'Dados Gerais'!H$49*('Dados Gerais'!$K$14/'Dados Gerais'!$E$14)</f>
        <v>0</v>
      </c>
      <c r="M22" s="285">
        <f>(E22*I22*'Dados Gerais'!I$49)/12</f>
        <v>0</v>
      </c>
      <c r="N22" s="285">
        <f>(F22*J22*'Dados Gerais'!J$49)/12</f>
        <v>0</v>
      </c>
      <c r="O22" s="285">
        <f>(G22*K22*'Dados Gerais'!K$49)/12</f>
        <v>0</v>
      </c>
      <c r="T22" s="467"/>
      <c r="V22" s="467"/>
    </row>
    <row r="23" spans="3:22" ht="15" customHeight="1" x14ac:dyDescent="0.2">
      <c r="C23" s="339" t="s">
        <v>208</v>
      </c>
      <c r="D23" s="279">
        <f>'Dados Operacionais'!G32</f>
        <v>0</v>
      </c>
      <c r="E23" s="279">
        <f>'Dados Operacionais'!H32</f>
        <v>0</v>
      </c>
      <c r="F23" s="279">
        <f>'Dados Operacionais'!I32</f>
        <v>0</v>
      </c>
      <c r="G23" s="279">
        <f>'Dados Operacionais'!J32</f>
        <v>0</v>
      </c>
      <c r="H23" s="282">
        <f>IF(H22&lt;=0,0,('Dados Gerais'!D83/'Dados Gerais'!$D$91*((100%-L$5))))</f>
        <v>0</v>
      </c>
      <c r="I23" s="282">
        <f>IF(I22&lt;=0,0,('Dados Gerais'!F83/'Dados Gerais'!$F$91*((100%-M$5))))</f>
        <v>0</v>
      </c>
      <c r="J23" s="282">
        <f>IF(J22&lt;=0,0,('Dados Gerais'!H83/'Dados Gerais'!$H$91*((100%-N$5))))</f>
        <v>0</v>
      </c>
      <c r="K23" s="282">
        <f>IF(K22&lt;=0,0,('Dados Gerais'!J83/'Dados Gerais'!$J$91*((100%-O$5))))</f>
        <v>0</v>
      </c>
      <c r="L23" s="285">
        <f>D23*H23*'Dados Gerais'!H$49*('Dados Gerais'!$K$14/'Dados Gerais'!$E$14)</f>
        <v>0</v>
      </c>
      <c r="M23" s="285">
        <f>(E23*I23*'Dados Gerais'!I$49)/12</f>
        <v>0</v>
      </c>
      <c r="N23" s="285">
        <f>(F23*J23*'Dados Gerais'!J$49)/12</f>
        <v>0</v>
      </c>
      <c r="O23" s="285">
        <f>(G23*K23*'Dados Gerais'!K$49)/12</f>
        <v>0</v>
      </c>
      <c r="T23" s="467"/>
      <c r="V23" s="467"/>
    </row>
    <row r="24" spans="3:22" ht="15" customHeight="1" x14ac:dyDescent="0.2">
      <c r="C24" s="526" t="s">
        <v>302</v>
      </c>
      <c r="D24" s="279">
        <f>'Dados Operacionais'!G33</f>
        <v>0</v>
      </c>
      <c r="E24" s="279">
        <f>'Dados Operacionais'!H33</f>
        <v>0</v>
      </c>
      <c r="F24" s="279">
        <f>'Dados Operacionais'!I33</f>
        <v>0</v>
      </c>
      <c r="G24" s="279">
        <f>'Dados Operacionais'!J33</f>
        <v>0</v>
      </c>
      <c r="H24" s="282">
        <f>IF(H23&lt;=0,0,('Dados Gerais'!D84/'Dados Gerais'!$D$91*((100%-L$5))))</f>
        <v>0</v>
      </c>
      <c r="I24" s="282">
        <f>IF(I23&lt;=0,0,('Dados Gerais'!F84/'Dados Gerais'!$F$91*((100%-M$5))))</f>
        <v>0</v>
      </c>
      <c r="J24" s="282">
        <f>IF(J23&lt;=0,0,('Dados Gerais'!H84/'Dados Gerais'!$H$91*((100%-N$5))))</f>
        <v>0</v>
      </c>
      <c r="K24" s="282">
        <f>IF(K23&lt;=0,0,('Dados Gerais'!J84/'Dados Gerais'!$J$91*((100%-O$5))))</f>
        <v>0</v>
      </c>
      <c r="L24" s="285">
        <f>D24*H24*'Dados Gerais'!H$49*('Dados Gerais'!$K$14/'Dados Gerais'!$E$14)</f>
        <v>0</v>
      </c>
      <c r="M24" s="285">
        <f>(E24*I24*'Dados Gerais'!I$49)/12</f>
        <v>0</v>
      </c>
      <c r="N24" s="285">
        <f>(F24*J24*'Dados Gerais'!J$49)/12</f>
        <v>0</v>
      </c>
      <c r="O24" s="285">
        <f>(G24*K24*'Dados Gerais'!K$49)/12</f>
        <v>0</v>
      </c>
      <c r="T24" s="467"/>
      <c r="V24" s="467"/>
    </row>
    <row r="25" spans="3:22" ht="15" customHeight="1" x14ac:dyDescent="0.2">
      <c r="C25" s="339" t="s">
        <v>55</v>
      </c>
      <c r="D25" s="279">
        <f>'Dados Operacionais'!G34</f>
        <v>0</v>
      </c>
      <c r="E25" s="279">
        <f>'Dados Operacionais'!H34</f>
        <v>0</v>
      </c>
      <c r="F25" s="279">
        <f>'Dados Operacionais'!I34</f>
        <v>0</v>
      </c>
      <c r="G25" s="279">
        <f>'Dados Operacionais'!J34</f>
        <v>0</v>
      </c>
      <c r="H25" s="282">
        <f>IF(H24&lt;=0,0,('Dados Gerais'!D85/'Dados Gerais'!$D$91*((100%-L$5))))</f>
        <v>0</v>
      </c>
      <c r="I25" s="282">
        <f>IF(I24&lt;=0,0,('Dados Gerais'!F85/'Dados Gerais'!$F$91*((100%-M$5))))</f>
        <v>0</v>
      </c>
      <c r="J25" s="282">
        <f>IF(J24&lt;=0,0,('Dados Gerais'!H85/'Dados Gerais'!$H$91*((100%-N$5))))</f>
        <v>0</v>
      </c>
      <c r="K25" s="282">
        <f>IF(K24&lt;=0,0,('Dados Gerais'!J85/'Dados Gerais'!$J$91*((100%-O$5))))</f>
        <v>0</v>
      </c>
      <c r="L25" s="285">
        <f>D25*H25*'Dados Gerais'!H$49*('Dados Gerais'!$K$14/'Dados Gerais'!$E$14)</f>
        <v>0</v>
      </c>
      <c r="M25" s="285">
        <f>(E25*I25*'Dados Gerais'!I$49)/12</f>
        <v>0</v>
      </c>
      <c r="N25" s="285">
        <f>(F25*J25*'Dados Gerais'!J$49)/12</f>
        <v>0</v>
      </c>
      <c r="O25" s="285">
        <f>(G25*K25*'Dados Gerais'!K$49)/12</f>
        <v>0</v>
      </c>
      <c r="T25" s="467"/>
      <c r="V25" s="467"/>
    </row>
    <row r="26" spans="3:22" ht="15" customHeight="1" x14ac:dyDescent="0.2">
      <c r="C26" s="341" t="s">
        <v>56</v>
      </c>
      <c r="D26" s="280">
        <f>'Dados Operacionais'!G35</f>
        <v>0</v>
      </c>
      <c r="E26" s="280">
        <f>'Dados Operacionais'!H35</f>
        <v>0</v>
      </c>
      <c r="F26" s="280">
        <f>'Dados Operacionais'!I35</f>
        <v>0</v>
      </c>
      <c r="G26" s="280">
        <f>'Dados Operacionais'!J35</f>
        <v>0</v>
      </c>
      <c r="H26" s="283">
        <f>IF(H25&lt;=0,0,('Dados Gerais'!D86/'Dados Gerais'!$D$91*((100%-L$5))))</f>
        <v>0</v>
      </c>
      <c r="I26" s="283">
        <f>IF(I25&lt;=0,0,('Dados Gerais'!F86/'Dados Gerais'!$F$91*((100%-M$5))))</f>
        <v>0</v>
      </c>
      <c r="J26" s="283">
        <f>IF(J25&lt;=0,0,('Dados Gerais'!H86/'Dados Gerais'!$H$91*((100%-N$5))))</f>
        <v>0</v>
      </c>
      <c r="K26" s="283">
        <f>IF(K25&lt;=0,0,('Dados Gerais'!J86/'Dados Gerais'!$J$91*((100%-O$5))))</f>
        <v>0</v>
      </c>
      <c r="L26" s="395">
        <f>D26*H26*'Dados Gerais'!H$49*('Dados Gerais'!$K$14/'Dados Gerais'!$E$14)</f>
        <v>0</v>
      </c>
      <c r="M26" s="395">
        <f>(E26*I26*'Dados Gerais'!I$49)/12</f>
        <v>0</v>
      </c>
      <c r="N26" s="395">
        <f>(F26*J26*'Dados Gerais'!J$49)/12</f>
        <v>0</v>
      </c>
      <c r="O26" s="395">
        <f>(G26*K26*'Dados Gerais'!K$49)/12</f>
        <v>0</v>
      </c>
      <c r="T26" s="467"/>
      <c r="V26" s="467"/>
    </row>
    <row r="27" spans="3:22" ht="15.75" customHeight="1" x14ac:dyDescent="0.2">
      <c r="T27" s="467"/>
      <c r="V27" s="467"/>
    </row>
    <row r="28" spans="3:22" ht="15.75" customHeight="1" x14ac:dyDescent="0.2">
      <c r="C28" s="559" t="s">
        <v>0</v>
      </c>
      <c r="D28" s="560"/>
      <c r="E28" s="560"/>
      <c r="F28" s="560"/>
      <c r="G28" s="560"/>
      <c r="H28" s="560"/>
      <c r="I28" s="561"/>
      <c r="J28" s="604" t="s">
        <v>65</v>
      </c>
      <c r="K28" s="604"/>
      <c r="L28" s="605" t="s">
        <v>66</v>
      </c>
      <c r="M28" s="605"/>
      <c r="N28" s="581" t="s">
        <v>67</v>
      </c>
      <c r="O28" s="580"/>
      <c r="T28" s="467"/>
      <c r="V28" s="467"/>
    </row>
    <row r="29" spans="3:22" ht="15" customHeight="1" x14ac:dyDescent="0.2">
      <c r="C29" s="52" t="s">
        <v>2</v>
      </c>
      <c r="E29" s="53"/>
      <c r="H29" s="54"/>
      <c r="I29" s="55"/>
      <c r="J29" s="598">
        <f>SUM(L16:L26)</f>
        <v>0</v>
      </c>
      <c r="K29" s="599"/>
      <c r="L29" s="600">
        <f>IF('Dados Operacionais'!$G$50=0,0,(J29/'Dados Operacionais'!$G$50))</f>
        <v>0</v>
      </c>
      <c r="M29" s="601"/>
      <c r="N29" s="602">
        <f>IF('Dados Operacionais'!$G$14=0,0,(J29/'Dados Operacionais'!$G$14))</f>
        <v>0</v>
      </c>
      <c r="O29" s="602"/>
      <c r="T29" s="467"/>
      <c r="V29" s="467"/>
    </row>
    <row r="30" spans="3:22" ht="15" customHeight="1" x14ac:dyDescent="0.2">
      <c r="C30" s="52" t="s">
        <v>250</v>
      </c>
      <c r="E30" s="53"/>
      <c r="H30" s="54"/>
      <c r="I30" s="55"/>
      <c r="J30" s="589">
        <f>SUM(M16:M26)</f>
        <v>0</v>
      </c>
      <c r="K30" s="590"/>
      <c r="L30" s="603">
        <f>IF('Dados Operacionais'!$H$50=0,0,(J30/'Dados Operacionais'!$H$50))</f>
        <v>0</v>
      </c>
      <c r="M30" s="575"/>
      <c r="N30" s="591">
        <f>IF('Dados Operacionais'!$H$14=0,0,(J30/'Dados Operacionais'!$H$14))</f>
        <v>0</v>
      </c>
      <c r="O30" s="591"/>
      <c r="T30" s="467"/>
      <c r="V30" s="467"/>
    </row>
    <row r="31" spans="3:22" ht="15" customHeight="1" x14ac:dyDescent="0.2">
      <c r="C31" s="52" t="s">
        <v>249</v>
      </c>
      <c r="E31" s="53"/>
      <c r="H31" s="54"/>
      <c r="I31" s="55"/>
      <c r="J31" s="589">
        <f>SUM(N16:N26)</f>
        <v>0</v>
      </c>
      <c r="K31" s="590"/>
      <c r="L31" s="574">
        <v>0</v>
      </c>
      <c r="M31" s="575"/>
      <c r="N31" s="591">
        <v>0</v>
      </c>
      <c r="O31" s="591"/>
      <c r="T31" s="467"/>
      <c r="V31" s="467"/>
    </row>
    <row r="32" spans="3:22" ht="15" customHeight="1" x14ac:dyDescent="0.2">
      <c r="C32" s="134" t="s">
        <v>251</v>
      </c>
      <c r="D32" s="119"/>
      <c r="E32" s="53"/>
      <c r="H32" s="54"/>
      <c r="I32" s="251"/>
      <c r="J32" s="572">
        <f>SUM(O16:O26)</f>
        <v>0</v>
      </c>
      <c r="K32" s="573"/>
      <c r="L32" s="574" t="str">
        <f>IF('Dados Operacionais'!$J$50=0,"-",(J32/'Dados Operacionais'!$J$50))</f>
        <v>-</v>
      </c>
      <c r="M32" s="575"/>
      <c r="N32" s="592" t="str">
        <f>IF(J32="-","-",IF('Dados Operacionais'!$J$14=0,"-",(J32/'Dados Operacionais'!$J$14)))</f>
        <v>-</v>
      </c>
      <c r="O32" s="593"/>
      <c r="T32" s="467"/>
      <c r="V32" s="467"/>
    </row>
    <row r="33" spans="2:22" ht="15" customHeight="1" x14ac:dyDescent="0.2">
      <c r="C33" s="253" t="s">
        <v>94</v>
      </c>
      <c r="D33" s="253"/>
      <c r="E33" s="253"/>
      <c r="F33" s="253"/>
      <c r="G33" s="253"/>
      <c r="H33" s="253"/>
      <c r="I33" s="255"/>
      <c r="J33" s="594">
        <f>SUM(J29:K32)</f>
        <v>0</v>
      </c>
      <c r="K33" s="594"/>
      <c r="L33" s="595">
        <f>IF('Dados Operacionais'!$K$50=0,0,(J33/'Dados Operacionais'!$K$50))</f>
        <v>0</v>
      </c>
      <c r="M33" s="595"/>
      <c r="N33" s="596">
        <f>IF('Dados Operacionais'!$K$14=0,0,(J33/'Dados Operacionais'!$K$14))</f>
        <v>0</v>
      </c>
      <c r="O33" s="597"/>
      <c r="T33" s="467"/>
      <c r="V33" s="467"/>
    </row>
    <row r="34" spans="2:22" ht="15.75" customHeight="1" x14ac:dyDescent="0.2">
      <c r="H34" s="80"/>
      <c r="T34" s="467"/>
      <c r="V34" s="467"/>
    </row>
    <row r="35" spans="2:22" ht="15.75" customHeight="1" x14ac:dyDescent="0.2">
      <c r="H35" s="80"/>
      <c r="T35" s="467"/>
      <c r="V35" s="467"/>
    </row>
    <row r="36" spans="2:22" ht="15.75" customHeight="1" x14ac:dyDescent="0.2">
      <c r="H36" s="80"/>
      <c r="T36" s="467"/>
      <c r="V36" s="467"/>
    </row>
    <row r="37" spans="2:22" ht="15.75" customHeight="1" x14ac:dyDescent="0.2">
      <c r="C37" s="84"/>
      <c r="T37" s="467"/>
      <c r="V37" s="467"/>
    </row>
    <row r="38" spans="2:22" ht="15.75" customHeight="1" x14ac:dyDescent="0.2">
      <c r="B38" s="2" t="s">
        <v>195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9"/>
      <c r="O38" s="5"/>
      <c r="T38" s="467"/>
      <c r="V38" s="467"/>
    </row>
    <row r="39" spans="2:22" ht="8.1" customHeight="1" x14ac:dyDescent="0.2"/>
    <row r="40" spans="2:22" ht="15.75" customHeight="1" x14ac:dyDescent="0.2">
      <c r="C40" s="585" t="s">
        <v>90</v>
      </c>
      <c r="D40" s="586"/>
      <c r="E40" s="586"/>
      <c r="F40" s="586"/>
      <c r="G40" s="586"/>
      <c r="H40" s="586" t="s">
        <v>95</v>
      </c>
      <c r="I40" s="586"/>
      <c r="J40" s="586"/>
      <c r="K40" s="586"/>
      <c r="L40" s="587" t="s">
        <v>96</v>
      </c>
      <c r="M40" s="587"/>
      <c r="N40" s="587"/>
      <c r="O40" s="588"/>
    </row>
    <row r="41" spans="2:22" ht="15.75" customHeight="1" x14ac:dyDescent="0.2">
      <c r="C41" s="336" t="s">
        <v>93</v>
      </c>
      <c r="D41" s="277" t="s">
        <v>2</v>
      </c>
      <c r="E41" s="277" t="s">
        <v>250</v>
      </c>
      <c r="F41" s="277" t="s">
        <v>249</v>
      </c>
      <c r="G41" s="277" t="s">
        <v>258</v>
      </c>
      <c r="H41" s="277" t="s">
        <v>2</v>
      </c>
      <c r="I41" s="277" t="s">
        <v>250</v>
      </c>
      <c r="J41" s="277" t="s">
        <v>249</v>
      </c>
      <c r="K41" s="277" t="s">
        <v>258</v>
      </c>
      <c r="L41" s="277" t="s">
        <v>2</v>
      </c>
      <c r="M41" s="277" t="s">
        <v>250</v>
      </c>
      <c r="N41" s="277" t="s">
        <v>249</v>
      </c>
      <c r="O41" s="277" t="s">
        <v>258</v>
      </c>
      <c r="Q41" s="305">
        <f>'Dados Gerais'!H74</f>
        <v>0</v>
      </c>
      <c r="R41" s="305">
        <f>'Dados Gerais'!I74</f>
        <v>0</v>
      </c>
    </row>
    <row r="42" spans="2:22" ht="15" customHeight="1" x14ac:dyDescent="0.2">
      <c r="C42" s="337" t="s">
        <v>48</v>
      </c>
      <c r="D42" s="278">
        <f>'Dados Operacionais'!G25</f>
        <v>0</v>
      </c>
      <c r="E42" s="278">
        <f>'Dados Operacionais'!H25</f>
        <v>0</v>
      </c>
      <c r="F42" s="278">
        <f>'Dados Operacionais'!I25</f>
        <v>0</v>
      </c>
      <c r="G42" s="278">
        <f>'Dados Operacionais'!J25</f>
        <v>0</v>
      </c>
      <c r="H42" s="281">
        <f>IF('Dados Gerais'!H74=0,0,IF('Dados Gerais'!H94=0,0,(1+L5-L5)))</f>
        <v>0</v>
      </c>
      <c r="I42" s="281">
        <f>IF('Dados Gerais'!I74=0,0,IF('Dados Gerais'!I94=0,0,(1+M5-M5)))</f>
        <v>0</v>
      </c>
      <c r="J42" s="281">
        <f>IF('Dados Gerais'!J74=0,0,IF('Dados Gerais'!J94=0,0,(1+N5-N5)))</f>
        <v>0</v>
      </c>
      <c r="K42" s="281">
        <f>IF('Dados Gerais'!K74=0,0,IF('Dados Gerais'!K94=0,0,(1+O5-O5)))</f>
        <v>0</v>
      </c>
      <c r="L42" s="329">
        <f>IF(D42="-","-",(D42*H42*'Dados Gerais'!H$49)*(((1+L$6)^(1/'Dados Gerais'!$E$14)^'Dados Gerais'!$K$14)-1))</f>
        <v>0</v>
      </c>
      <c r="M42" s="329" t="e">
        <f>IF(E42="-","-",(E42*I42*'Dados Gerais'!I$49)*(((1+M$6)^(1/'Dados Gerais'!$E$14)^'Dados Gerais'!$K$14)-1))</f>
        <v>#VALUE!</v>
      </c>
      <c r="N42" s="338">
        <f>IF(F42="-","-",(F42*J42*'Dados Gerais'!J$49)*(((1+N$6)^(1/'Dados Gerais'!$E$14)^'Dados Gerais'!$K$14)-1))</f>
        <v>0</v>
      </c>
      <c r="O42" s="329" t="e">
        <f>IF(G42="-","-",(G42*K42*'Dados Gerais'!K$49)*(((1+O$6)^(1/'Dados Gerais'!$E$15)^'Dados Gerais'!$K$15)-1))</f>
        <v>#VALUE!</v>
      </c>
    </row>
    <row r="43" spans="2:22" ht="15" customHeight="1" x14ac:dyDescent="0.2">
      <c r="C43" s="339" t="s">
        <v>49</v>
      </c>
      <c r="D43" s="279">
        <f>'Dados Operacionais'!G26</f>
        <v>0</v>
      </c>
      <c r="E43" s="279">
        <f>'Dados Operacionais'!H26</f>
        <v>0</v>
      </c>
      <c r="F43" s="279">
        <f>'Dados Operacionais'!I26</f>
        <v>0</v>
      </c>
      <c r="G43" s="279">
        <f>'Dados Operacionais'!J26</f>
        <v>0</v>
      </c>
      <c r="H43" s="282">
        <f>IF('Dados Gerais'!$H$74=0,0,IF(H42&lt;=0,0,((1-(100%-$L$5)*('Dados Gerais'!H74/'Dados Gerais'!$D$91)))))</f>
        <v>0</v>
      </c>
      <c r="I43" s="282">
        <f>IF('Dados Gerais'!$I$74=0,0,IF(I42&lt;=0,0,((1-(100%-$M$5)*('Dados Gerais'!I74/'Dados Gerais'!$F$91)))))</f>
        <v>0</v>
      </c>
      <c r="J43" s="282">
        <f>IF('Dados Gerais'!$J$74=0,0,IF(J42&lt;=0,0,((1-(100%-$N$5)*('Dados Gerais'!J74/'Dados Gerais'!$H$91)))))</f>
        <v>0</v>
      </c>
      <c r="K43" s="282">
        <f>IF('Dados Gerais'!$K$74=0,0,IF(K42&lt;=0,0,((1-(100%-$O$5)*('Dados Gerais'!K74/'Dados Gerais'!$J$91)))))</f>
        <v>0</v>
      </c>
      <c r="L43" s="330">
        <f>IF(D43="-","-",(D43*H43*'Dados Gerais'!H$49)*(((1+L$6)^(1/'Dados Gerais'!$E$14)^'Dados Gerais'!$K$14)-1))</f>
        <v>0</v>
      </c>
      <c r="M43" s="330" t="e">
        <f>IF(E43="-","-",(E43*I43*'Dados Gerais'!I$49)*(((1+M$6)^(1/'Dados Gerais'!$E$14)^'Dados Gerais'!$K$14)-1))</f>
        <v>#VALUE!</v>
      </c>
      <c r="N43" s="340">
        <f>IF(F43="-","-",(F43*J43*'Dados Gerais'!J$49)*(((1+N$6)^(1/'Dados Gerais'!$E$14)^'Dados Gerais'!$K$14)-1))</f>
        <v>0</v>
      </c>
      <c r="O43" s="330" t="e">
        <f>IF(G43="-","-",(G43*K43*'Dados Gerais'!K$49)*(((1+O$6)^(1/'Dados Gerais'!$E$15)^'Dados Gerais'!$K$15)-1))</f>
        <v>#VALUE!</v>
      </c>
    </row>
    <row r="44" spans="2:22" ht="15" customHeight="1" x14ac:dyDescent="0.2">
      <c r="C44" s="339" t="s">
        <v>50</v>
      </c>
      <c r="D44" s="279">
        <f>'Dados Operacionais'!G27</f>
        <v>0</v>
      </c>
      <c r="E44" s="279">
        <f>'Dados Operacionais'!H27</f>
        <v>0</v>
      </c>
      <c r="F44" s="279">
        <f>'Dados Operacionais'!I27</f>
        <v>0</v>
      </c>
      <c r="G44" s="279">
        <f>'Dados Operacionais'!J27</f>
        <v>0</v>
      </c>
      <c r="H44" s="282">
        <f>IF('Dados Gerais'!E77=0,0,IF(H43&lt;=0,0,((1-(100%-$L$5)*('Dados Gerais'!E77/'Dados Gerais'!$D$91)))))</f>
        <v>0</v>
      </c>
      <c r="I44" s="282">
        <f>IF('Dados Gerais'!G77=0,0,IF(I43&lt;=0,0,((1-(100%-$M$5)*('Dados Gerais'!G77/'Dados Gerais'!$F$91)))))</f>
        <v>0</v>
      </c>
      <c r="J44" s="282">
        <f>IF('Dados Gerais'!I77=0,0,IF(J43&lt;=0,0,((1-(100%-$N$5)*('Dados Gerais'!I77/'Dados Gerais'!$H$91)))))</f>
        <v>0</v>
      </c>
      <c r="K44" s="282">
        <f>IF('Dados Gerais'!K77=0,0,IF(K43&lt;=0,0,((1-(100%-$O$5)*('Dados Gerais'!K77/'Dados Gerais'!$J$91)))))</f>
        <v>0</v>
      </c>
      <c r="L44" s="330">
        <f>IF(D44="-","-",(D44*H44*'Dados Gerais'!H$49)*(((1+L$6)^(1/'Dados Gerais'!$E$14)^'Dados Gerais'!$K$14)-1))</f>
        <v>0</v>
      </c>
      <c r="M44" s="330" t="e">
        <f>IF(E44="-","-",(E44*I44*'Dados Gerais'!I$49)*(((1+M$6)^(1/'Dados Gerais'!$E$14)^'Dados Gerais'!$K$14)-1))</f>
        <v>#VALUE!</v>
      </c>
      <c r="N44" s="340">
        <f>IF(F44="-","-",(F44*J44*'Dados Gerais'!J$49)*(((1+N$6)^(1/'Dados Gerais'!$E$14)^'Dados Gerais'!$K$14)-1))</f>
        <v>0</v>
      </c>
      <c r="O44" s="330" t="e">
        <f>IF(G44="-","-",(G44*K44*'Dados Gerais'!K$49)*(((1+O$6)^(1/'Dados Gerais'!$E$14)^'Dados Gerais'!$K$14)-1))</f>
        <v>#VALUE!</v>
      </c>
    </row>
    <row r="45" spans="2:22" ht="15" customHeight="1" x14ac:dyDescent="0.2">
      <c r="C45" s="339" t="s">
        <v>51</v>
      </c>
      <c r="D45" s="279">
        <f>'Dados Operacionais'!G28</f>
        <v>0</v>
      </c>
      <c r="E45" s="279">
        <f>'Dados Operacionais'!H28</f>
        <v>0</v>
      </c>
      <c r="F45" s="279">
        <f>'Dados Operacionais'!I28</f>
        <v>0</v>
      </c>
      <c r="G45" s="279">
        <f>'Dados Operacionais'!J28</f>
        <v>0</v>
      </c>
      <c r="H45" s="282">
        <f>IF('Dados Gerais'!E78=0,0,IF(H44&lt;=0,0,((1-(100%-$L$5)*('Dados Gerais'!E78/'Dados Gerais'!$D$91)))))</f>
        <v>0</v>
      </c>
      <c r="I45" s="282">
        <f>IF('Dados Gerais'!G78=0,0,IF(I44&lt;=0,0,((1-(100%-$M$5)*('Dados Gerais'!G78/'Dados Gerais'!$F$91)))))</f>
        <v>0</v>
      </c>
      <c r="J45" s="282">
        <f>IF('Dados Gerais'!I78=0,0,IF(J44&lt;=0,0,((1-(100%-$N$5)*('Dados Gerais'!I78/'Dados Gerais'!$H$91)))))</f>
        <v>0</v>
      </c>
      <c r="K45" s="282">
        <f>IF('Dados Gerais'!K78=0,0,IF(K44&lt;=0,0,((1-(100%-$O$5)*('Dados Gerais'!K78/'Dados Gerais'!$J$91)))))</f>
        <v>0</v>
      </c>
      <c r="L45" s="330">
        <f>IF(D45="-","-",(D45*H45*'Dados Gerais'!H$49)*(((1+L$6)^(1/'Dados Gerais'!$E$14)^'Dados Gerais'!$K$14)-1))</f>
        <v>0</v>
      </c>
      <c r="M45" s="330" t="e">
        <f>IF(E45="-","-",(E45*I45*'Dados Gerais'!I$49)*(((1+M$6)^(1/'Dados Gerais'!$E$14)^'Dados Gerais'!$K$14)-1))</f>
        <v>#VALUE!</v>
      </c>
      <c r="N45" s="340">
        <f>IF(F45="-","-",(F45*J45*'Dados Gerais'!J$49)*(((1+N$6)^(1/'Dados Gerais'!$E$14)^'Dados Gerais'!$K$14)-1))</f>
        <v>0</v>
      </c>
      <c r="O45" s="330" t="e">
        <f>IF(G45="-","-",(G45*K45*'Dados Gerais'!K$49)*(((1+O$6)^(1/'Dados Gerais'!$E$14)^'Dados Gerais'!$K$14)-1))</f>
        <v>#VALUE!</v>
      </c>
    </row>
    <row r="46" spans="2:22" ht="15" customHeight="1" x14ac:dyDescent="0.2">
      <c r="C46" s="339" t="s">
        <v>52</v>
      </c>
      <c r="D46" s="279">
        <f>'Dados Operacionais'!G29</f>
        <v>0</v>
      </c>
      <c r="E46" s="279">
        <f>'Dados Operacionais'!H29</f>
        <v>0</v>
      </c>
      <c r="F46" s="279">
        <f>'Dados Operacionais'!I29</f>
        <v>0</v>
      </c>
      <c r="G46" s="279">
        <f>'Dados Operacionais'!J29</f>
        <v>0</v>
      </c>
      <c r="H46" s="282">
        <f>IF('Dados Gerais'!E79=0,0,IF(H45&lt;=0,0,((1-(100%-$L$5)*('Dados Gerais'!E79/'Dados Gerais'!$D$91)))))</f>
        <v>0</v>
      </c>
      <c r="I46" s="282">
        <f>IF('Dados Gerais'!G79=0,0,IF(I45&lt;=0,0,((1-(100%-$M$5)*('Dados Gerais'!G79/'Dados Gerais'!$F$91)))))</f>
        <v>0</v>
      </c>
      <c r="J46" s="282">
        <f>IF('Dados Gerais'!I79=0,0,IF(J45&lt;=0,0,((1-(100%-$N$5)*('Dados Gerais'!I79/'Dados Gerais'!$H$91)))))</f>
        <v>0</v>
      </c>
      <c r="K46" s="282">
        <f>IF('Dados Gerais'!K79=0,0,IF(K45&lt;=0,0,((1-(100%-$O$5)*('Dados Gerais'!K79/'Dados Gerais'!$J$91)))))</f>
        <v>0</v>
      </c>
      <c r="L46" s="330">
        <f>IF(D46="-","-",(D46*H46*'Dados Gerais'!H$49)*(((1+L$6)^(1/'Dados Gerais'!$E$14)^'Dados Gerais'!$K$14)-1))</f>
        <v>0</v>
      </c>
      <c r="M46" s="330" t="e">
        <f>IF(E46="-","-",(E46*I46*'Dados Gerais'!I$49)*(((1+M$6)^(1/'Dados Gerais'!$E$14)^'Dados Gerais'!$K$14)-1))</f>
        <v>#VALUE!</v>
      </c>
      <c r="N46" s="340">
        <f>IF(F46="-","-",(F46*J46*'Dados Gerais'!J$49)*(((1+N$6)^(1/'Dados Gerais'!$E$14)^'Dados Gerais'!$K$14)-1))</f>
        <v>0</v>
      </c>
      <c r="O46" s="330" t="e">
        <f>IF(G46="-","-",(G46*K46*'Dados Gerais'!K$49)*(((1+O$6)^(1/'Dados Gerais'!$E$14)^'Dados Gerais'!$K$14)-1))</f>
        <v>#VALUE!</v>
      </c>
    </row>
    <row r="47" spans="2:22" ht="15" customHeight="1" x14ac:dyDescent="0.2">
      <c r="C47" s="339" t="s">
        <v>53</v>
      </c>
      <c r="D47" s="279">
        <f>'Dados Operacionais'!G30</f>
        <v>0</v>
      </c>
      <c r="E47" s="279">
        <v>0</v>
      </c>
      <c r="F47" s="279">
        <f>'Dados Operacionais'!I30</f>
        <v>0</v>
      </c>
      <c r="G47" s="279">
        <f>'Dados Operacionais'!J30</f>
        <v>0</v>
      </c>
      <c r="H47" s="282">
        <f>IF('Dados Gerais'!E80=0,0,IF(H46&lt;=0,0,((1-(100%-$L$5)*('Dados Gerais'!E80/'Dados Gerais'!$D$91)))))</f>
        <v>0</v>
      </c>
      <c r="I47" s="282">
        <f>IF('Dados Gerais'!G80=0,0,IF(I46&lt;=0,0,((1-(100%-$M$5)*('Dados Gerais'!G80/'Dados Gerais'!$F$91)))))</f>
        <v>0</v>
      </c>
      <c r="J47" s="282">
        <f>IF('Dados Gerais'!I80=0,0,IF(J46&lt;=0,0,((1-(100%-$N$5)*('Dados Gerais'!I80/'Dados Gerais'!$H$91)))))</f>
        <v>0</v>
      </c>
      <c r="K47" s="282">
        <f>IF('Dados Gerais'!K80=0,0,IF(K46&lt;=0,0,((1-(100%-$O$5)*('Dados Gerais'!K80/'Dados Gerais'!$J$91)))))</f>
        <v>0</v>
      </c>
      <c r="L47" s="330">
        <f>IF(D47="-","-",(D47*H47*'Dados Gerais'!H$49)*(((1+L$6)^(1/'Dados Gerais'!$E$14)^'Dados Gerais'!$K$14)-1))</f>
        <v>0</v>
      </c>
      <c r="M47" s="330" t="e">
        <f>IF(E47="-","-",(E47*I47*'Dados Gerais'!I$49)*(((1+M$6)^(1/'Dados Gerais'!$E$14)^'Dados Gerais'!$K$14)-1))</f>
        <v>#VALUE!</v>
      </c>
      <c r="N47" s="340">
        <f>IF(F47="-","-",(F47*J47*'Dados Gerais'!J$49)*(((1+N$6)^(1/'Dados Gerais'!$E$14)^'Dados Gerais'!$K$14)-1))</f>
        <v>0</v>
      </c>
      <c r="O47" s="330" t="e">
        <f>IF(G47="-","-",(G47*K47*'Dados Gerais'!K$49)*(((1+O$6)^(1/'Dados Gerais'!$E$14)^'Dados Gerais'!$K$14)-1))</f>
        <v>#VALUE!</v>
      </c>
    </row>
    <row r="48" spans="2:22" ht="15" customHeight="1" x14ac:dyDescent="0.2">
      <c r="C48" s="339" t="s">
        <v>54</v>
      </c>
      <c r="D48" s="279">
        <f>'Dados Operacionais'!G31</f>
        <v>0</v>
      </c>
      <c r="E48" s="279">
        <f>'Dados Operacionais'!H31</f>
        <v>0</v>
      </c>
      <c r="F48" s="279">
        <f>'Dados Operacionais'!I31</f>
        <v>0</v>
      </c>
      <c r="G48" s="279">
        <f>'Dados Operacionais'!J31</f>
        <v>0</v>
      </c>
      <c r="H48" s="282">
        <f>IF('Dados Gerais'!E81=0,0,IF(H47&lt;=0,0,((1-(100%-$L$5)*('Dados Gerais'!E81/'Dados Gerais'!$D$91)))))</f>
        <v>0</v>
      </c>
      <c r="I48" s="282">
        <f>IF('Dados Gerais'!G81=0,0,IF(I47&lt;=0,0,((1-(100%-$M$5)*('Dados Gerais'!G81/'Dados Gerais'!$F$91)))))</f>
        <v>0</v>
      </c>
      <c r="J48" s="282">
        <f>IF('Dados Gerais'!I81=0,0,IF(J47&lt;=0,0,((1-(100%-$N$5)*('Dados Gerais'!I81/'Dados Gerais'!$H$91)))))</f>
        <v>0</v>
      </c>
      <c r="K48" s="282">
        <f>IF('Dados Gerais'!K81=0,0,IF(K47&lt;=0,0,((1-(100%-$O$5)*('Dados Gerais'!K81/'Dados Gerais'!$J$91)))))</f>
        <v>0</v>
      </c>
      <c r="L48" s="330">
        <f>IF(D48="-","-",(D48*H48*'Dados Gerais'!H$49)*(((1+L$6)^(1/'Dados Gerais'!$E$14)^'Dados Gerais'!$K$14)-1))</f>
        <v>0</v>
      </c>
      <c r="M48" s="330" t="e">
        <f>IF(E48="-","-",(E48*I48*'Dados Gerais'!I$49)*(((1+M$6)^(1/'Dados Gerais'!$E$14)^'Dados Gerais'!$K$14)-1))</f>
        <v>#VALUE!</v>
      </c>
      <c r="N48" s="340">
        <f>IF(F48="-","-",(F48*J48*'Dados Gerais'!J$49)*(((1+N$6)^(1/'Dados Gerais'!$E$14)^'Dados Gerais'!$K$14)-1))</f>
        <v>0</v>
      </c>
      <c r="O48" s="330" t="e">
        <f>IF(G48="-","-",(G48*K48*'Dados Gerais'!K$49)*(((1+O$6)^(1/'Dados Gerais'!$E$14)^'Dados Gerais'!$K$14)-1))</f>
        <v>#VALUE!</v>
      </c>
    </row>
    <row r="49" spans="3:16" ht="15" customHeight="1" x14ac:dyDescent="0.2">
      <c r="C49" s="339" t="s">
        <v>208</v>
      </c>
      <c r="D49" s="279">
        <f>'Dados Operacionais'!G32</f>
        <v>0</v>
      </c>
      <c r="E49" s="279">
        <f>'Dados Operacionais'!H32</f>
        <v>0</v>
      </c>
      <c r="F49" s="279">
        <f>'Dados Operacionais'!I32</f>
        <v>0</v>
      </c>
      <c r="G49" s="279">
        <f>'Dados Operacionais'!J32</f>
        <v>0</v>
      </c>
      <c r="H49" s="282">
        <f>IF('Dados Gerais'!E82=0,0,IF(H48&lt;=0,0,((1-(100%-$L$5)*('Dados Gerais'!E82/'Dados Gerais'!$D$91)))))</f>
        <v>0</v>
      </c>
      <c r="I49" s="282">
        <f>IF('Dados Gerais'!G82=0,0,IF(I48&lt;=0,0,((1-(100%-$M$5)*('Dados Gerais'!G82/'Dados Gerais'!$F$91)))))</f>
        <v>0</v>
      </c>
      <c r="J49" s="282">
        <f>IF('Dados Gerais'!I82=0,0,IF(J48&lt;=0,0,((1-(100%-$N$5)*('Dados Gerais'!I82/'Dados Gerais'!$H$91)))))</f>
        <v>0</v>
      </c>
      <c r="K49" s="282">
        <f>IF('Dados Gerais'!K82=0,0,IF(K48&lt;=0,0,((1-(100%-$O$5)*('Dados Gerais'!K82/'Dados Gerais'!$J$91)))))</f>
        <v>0</v>
      </c>
      <c r="L49" s="330">
        <f>IF(D49="-","-",(D49*H49*'Dados Gerais'!H$49)*(((1+L$6)^(1/'Dados Gerais'!$E$14)^'Dados Gerais'!$K$14)-1))</f>
        <v>0</v>
      </c>
      <c r="M49" s="330" t="e">
        <f>IF(E49="-","-",(E49*I49*'Dados Gerais'!I$49)*(((1+M$6)^(1/'Dados Gerais'!$E$14)^'Dados Gerais'!$K$14)-1))</f>
        <v>#VALUE!</v>
      </c>
      <c r="N49" s="340">
        <f>IF(F49="-","-",(F49*J49*'Dados Gerais'!J$49)*(((1+N$6)^(1/'Dados Gerais'!$E$14)^'Dados Gerais'!$K$14)-1))</f>
        <v>0</v>
      </c>
      <c r="O49" s="330" t="e">
        <f>IF(G49="-","-",(G49*K49*'Dados Gerais'!K$49)*(((1+O$6)^(1/'Dados Gerais'!$E$15)^'Dados Gerais'!$K$15)-1))</f>
        <v>#VALUE!</v>
      </c>
    </row>
    <row r="50" spans="3:16" ht="15" customHeight="1" x14ac:dyDescent="0.2">
      <c r="C50" s="526" t="s">
        <v>302</v>
      </c>
      <c r="D50" s="279">
        <f>'Dados Operacionais'!G33</f>
        <v>0</v>
      </c>
      <c r="E50" s="279">
        <f>'Dados Operacionais'!H33</f>
        <v>0</v>
      </c>
      <c r="F50" s="279">
        <f>'Dados Operacionais'!I33</f>
        <v>0</v>
      </c>
      <c r="G50" s="279">
        <f>'Dados Operacionais'!J33</f>
        <v>0</v>
      </c>
      <c r="H50" s="282">
        <v>0.2</v>
      </c>
      <c r="I50" s="282">
        <v>0.2</v>
      </c>
      <c r="J50" s="282">
        <v>0.2</v>
      </c>
      <c r="K50" s="282">
        <v>0.2</v>
      </c>
      <c r="L50" s="330">
        <f>IF(D50="-","-",(D50*H50*'Dados Gerais'!H$49)*(((1+L$6)^(1/'Dados Gerais'!$E$14)^'Dados Gerais'!$K$14)-1))</f>
        <v>0</v>
      </c>
      <c r="M50" s="330" t="e">
        <f>IF(E50="-","-",(E50*I50*'Dados Gerais'!I$49)*(((1+M$6)^(1/'Dados Gerais'!$E$14)^'Dados Gerais'!$K$14)-1))</f>
        <v>#VALUE!</v>
      </c>
      <c r="N50" s="340">
        <f>IF(F50="-","-",(F50*J50*'Dados Gerais'!J$49)*(((1+N$6)^(1/'Dados Gerais'!$E$14)^'Dados Gerais'!$K$14)-1))</f>
        <v>0</v>
      </c>
      <c r="O50" s="330" t="e">
        <f>IF(G50="-","-",(G50*K50*'Dados Gerais'!K$49)*(((1+O$6)^(1/'Dados Gerais'!$E$15)^'Dados Gerais'!$K$15)-1))</f>
        <v>#VALUE!</v>
      </c>
    </row>
    <row r="51" spans="3:16" ht="15" customHeight="1" x14ac:dyDescent="0.2">
      <c r="C51" s="339" t="s">
        <v>55</v>
      </c>
      <c r="D51" s="279">
        <f>'Dados Operacionais'!G34</f>
        <v>0</v>
      </c>
      <c r="E51" s="279">
        <f>'Dados Operacionais'!H34</f>
        <v>0</v>
      </c>
      <c r="F51" s="279">
        <f>'Dados Operacionais'!I34</f>
        <v>0</v>
      </c>
      <c r="G51" s="279">
        <f>'Dados Operacionais'!J34</f>
        <v>0</v>
      </c>
      <c r="H51" s="282">
        <v>0.2</v>
      </c>
      <c r="I51" s="282">
        <v>0.2</v>
      </c>
      <c r="J51" s="282">
        <v>0.2</v>
      </c>
      <c r="K51" s="282">
        <v>0.2</v>
      </c>
      <c r="L51" s="330">
        <f>IF(D51="-","-",(D51*H51*'Dados Gerais'!H$49)*(((1+L$6)^(1/'Dados Gerais'!$E$14)^'Dados Gerais'!$K$14)-1))</f>
        <v>0</v>
      </c>
      <c r="M51" s="330" t="e">
        <f>IF(E51="-","-",(E51*I51*'Dados Gerais'!I$49)*(((1+M$6)^(1/'Dados Gerais'!$E$14)^'Dados Gerais'!$K$14)-1))</f>
        <v>#VALUE!</v>
      </c>
      <c r="N51" s="340">
        <f>IF(F51="-","-",(F51*J51*'Dados Gerais'!J$49)*(((1+N$6)^(1/'Dados Gerais'!$E$14)^'Dados Gerais'!$K$14)-1))</f>
        <v>0</v>
      </c>
      <c r="O51" s="330" t="e">
        <f>IF(G51="-","-",(G51*K51*'Dados Gerais'!K$49)*(((1+O$6)^(1/'Dados Gerais'!$E$15)^'Dados Gerais'!$K$15)-1))</f>
        <v>#VALUE!</v>
      </c>
    </row>
    <row r="52" spans="3:16" ht="15" customHeight="1" x14ac:dyDescent="0.2">
      <c r="C52" s="341" t="s">
        <v>56</v>
      </c>
      <c r="D52" s="280">
        <f>'Dados Operacionais'!G35</f>
        <v>0</v>
      </c>
      <c r="E52" s="280">
        <f>'Dados Operacionais'!H35</f>
        <v>0</v>
      </c>
      <c r="F52" s="280">
        <f>'Dados Operacionais'!I35</f>
        <v>0</v>
      </c>
      <c r="G52" s="280">
        <f>'Dados Operacionais'!J35</f>
        <v>0</v>
      </c>
      <c r="H52" s="283">
        <v>0.2</v>
      </c>
      <c r="I52" s="283">
        <v>0.2</v>
      </c>
      <c r="J52" s="283">
        <v>0.2</v>
      </c>
      <c r="K52" s="283">
        <v>0.2</v>
      </c>
      <c r="L52" s="331">
        <f>IF(D52="-","-",(D52*H52*'Dados Gerais'!H$49)*(((1+L$6)^(1/'Dados Gerais'!$E$14)^'Dados Gerais'!$K$14)-1))</f>
        <v>0</v>
      </c>
      <c r="M52" s="331" t="e">
        <f>IF(E52="-","-",(E52*I52*'Dados Gerais'!I$49)*(((1+M$6)^(1/'Dados Gerais'!$E$14)^'Dados Gerais'!$K$14)-1))</f>
        <v>#VALUE!</v>
      </c>
      <c r="N52" s="342">
        <f>IF(F52="-","-",(F52*J52*'Dados Gerais'!J$49)*(((1+N$6)^(1/'Dados Gerais'!$E$14)^'Dados Gerais'!$K$14)-1))</f>
        <v>0</v>
      </c>
      <c r="O52" s="331" t="e">
        <f>IF(G52="-","-",(G52*K52*'Dados Gerais'!K$49)*(((1+O$6)^(1/'Dados Gerais'!$E$14)^'Dados Gerais'!$K$14)-1))</f>
        <v>#VALUE!</v>
      </c>
      <c r="P52" s="74"/>
    </row>
    <row r="53" spans="3:16" ht="15.75" customHeight="1" x14ac:dyDescent="0.2"/>
    <row r="54" spans="3:16" ht="15.75" customHeight="1" x14ac:dyDescent="0.2">
      <c r="C54" s="562" t="s">
        <v>0</v>
      </c>
      <c r="D54" s="562"/>
      <c r="E54" s="562"/>
      <c r="F54" s="562"/>
      <c r="G54" s="562"/>
      <c r="H54" s="562"/>
      <c r="I54" s="562"/>
      <c r="J54" s="578" t="s">
        <v>65</v>
      </c>
      <c r="K54" s="579"/>
      <c r="L54" s="580" t="s">
        <v>66</v>
      </c>
      <c r="M54" s="581"/>
      <c r="N54" s="580" t="s">
        <v>67</v>
      </c>
      <c r="O54" s="582"/>
    </row>
    <row r="55" spans="3:16" ht="15" customHeight="1" x14ac:dyDescent="0.2">
      <c r="C55" s="52" t="s">
        <v>2</v>
      </c>
      <c r="E55" s="53"/>
      <c r="H55" s="54"/>
      <c r="I55" s="55"/>
      <c r="J55" s="572">
        <f>SUM(L42:L52)</f>
        <v>0</v>
      </c>
      <c r="K55" s="573"/>
      <c r="L55" s="574">
        <f>IF('Dados Operacionais'!$G$50=0,0,(J55/'Dados Operacionais'!$G$50))</f>
        <v>0</v>
      </c>
      <c r="M55" s="575"/>
      <c r="N55" s="583">
        <f>IF('Dados Operacionais'!$G$14=0,0,(J55/'Dados Operacionais'!$G$14))</f>
        <v>0</v>
      </c>
      <c r="O55" s="584"/>
    </row>
    <row r="56" spans="3:16" ht="15" customHeight="1" x14ac:dyDescent="0.2">
      <c r="C56" s="52" t="s">
        <v>250</v>
      </c>
      <c r="E56" s="53"/>
      <c r="H56" s="54"/>
      <c r="I56" s="55"/>
      <c r="J56" s="572" t="e">
        <f>SUM(M42:M52)</f>
        <v>#VALUE!</v>
      </c>
      <c r="K56" s="573"/>
      <c r="L56" s="574">
        <f>IF('Dados Operacionais'!$H$50=0,0,(J56/'Dados Operacionais'!$H$50))</f>
        <v>0</v>
      </c>
      <c r="M56" s="575"/>
      <c r="N56" s="572">
        <f>IF('Dados Operacionais'!$H$14=0,0,(J56/'Dados Operacionais'!$H$14))</f>
        <v>0</v>
      </c>
      <c r="O56" s="558"/>
    </row>
    <row r="57" spans="3:16" ht="15" customHeight="1" x14ac:dyDescent="0.2">
      <c r="C57" s="52" t="s">
        <v>249</v>
      </c>
      <c r="E57" s="53"/>
      <c r="H57" s="54"/>
      <c r="I57" s="55"/>
      <c r="J57" s="572">
        <f>SUM(N42:N52)</f>
        <v>0</v>
      </c>
      <c r="K57" s="573"/>
      <c r="L57" s="574">
        <f>IF('Dados Operacionais'!$I$50=0,0,(J57/'Dados Operacionais'!$I$50))</f>
        <v>0</v>
      </c>
      <c r="M57" s="575"/>
      <c r="N57" s="572">
        <f>IF('Dados Operacionais'!$I$14=0,0,(J57/'Dados Operacionais'!$I$14))</f>
        <v>0</v>
      </c>
      <c r="O57" s="558"/>
    </row>
    <row r="58" spans="3:16" ht="15" customHeight="1" x14ac:dyDescent="0.2">
      <c r="C58" s="134" t="s">
        <v>251</v>
      </c>
      <c r="D58" s="119"/>
      <c r="E58" s="53"/>
      <c r="H58" s="54"/>
      <c r="I58" s="251"/>
      <c r="J58" s="572" t="e">
        <f>IF(SUM(O42:O52)=0,"-",SUM(O42:O52))</f>
        <v>#VALUE!</v>
      </c>
      <c r="K58" s="573"/>
      <c r="L58" s="574" t="str">
        <f>IF('Dados Operacionais'!$J$50=0,"-",(J58/'Dados Operacionais'!$J$50))</f>
        <v>-</v>
      </c>
      <c r="M58" s="575"/>
      <c r="N58" s="576" t="e">
        <f>IF(J58="-","-",IF('Dados Operacionais'!$J$14=0,"-",(J58/'Dados Operacionais'!$J$14)))</f>
        <v>#VALUE!</v>
      </c>
      <c r="O58" s="577"/>
    </row>
    <row r="59" spans="3:16" ht="15" customHeight="1" x14ac:dyDescent="0.2">
      <c r="C59" s="253" t="s">
        <v>97</v>
      </c>
      <c r="D59" s="253"/>
      <c r="E59" s="253"/>
      <c r="F59" s="253"/>
      <c r="G59" s="253"/>
      <c r="H59" s="253"/>
      <c r="I59" s="255"/>
      <c r="J59" s="567" t="e">
        <f>SUM(J55:K58)</f>
        <v>#VALUE!</v>
      </c>
      <c r="K59" s="568"/>
      <c r="L59" s="569">
        <f>IF('Dados Operacionais'!$K$50=0,0,(J59/'Dados Operacionais'!$K$50))</f>
        <v>0</v>
      </c>
      <c r="M59" s="570"/>
      <c r="N59" s="567">
        <f>IF('Dados Operacionais'!$K$14=0,0,(J59/'Dados Operacionais'!$K$14))</f>
        <v>0</v>
      </c>
      <c r="O59" s="571"/>
    </row>
    <row r="62" spans="3:16" ht="13.35" customHeight="1" x14ac:dyDescent="0.2">
      <c r="O62" s="144" t="s">
        <v>148</v>
      </c>
    </row>
  </sheetData>
  <mergeCells count="45">
    <mergeCell ref="C28:I28"/>
    <mergeCell ref="J28:K28"/>
    <mergeCell ref="L28:M28"/>
    <mergeCell ref="N28:O28"/>
    <mergeCell ref="C4:K4"/>
    <mergeCell ref="C14:G14"/>
    <mergeCell ref="H14:K14"/>
    <mergeCell ref="L14:O14"/>
    <mergeCell ref="J29:K29"/>
    <mergeCell ref="L29:M29"/>
    <mergeCell ref="N29:O29"/>
    <mergeCell ref="J30:K30"/>
    <mergeCell ref="L30:M30"/>
    <mergeCell ref="N30:O30"/>
    <mergeCell ref="C40:G40"/>
    <mergeCell ref="H40:K40"/>
    <mergeCell ref="L40:O40"/>
    <mergeCell ref="J31:K31"/>
    <mergeCell ref="L31:M31"/>
    <mergeCell ref="N31:O31"/>
    <mergeCell ref="J32:K32"/>
    <mergeCell ref="L32:M32"/>
    <mergeCell ref="N32:O32"/>
    <mergeCell ref="J33:K33"/>
    <mergeCell ref="L33:M33"/>
    <mergeCell ref="N33:O33"/>
    <mergeCell ref="J56:K56"/>
    <mergeCell ref="L56:M56"/>
    <mergeCell ref="N56:O56"/>
    <mergeCell ref="N57:O57"/>
    <mergeCell ref="J58:K58"/>
    <mergeCell ref="C54:I54"/>
    <mergeCell ref="J54:K54"/>
    <mergeCell ref="L54:M54"/>
    <mergeCell ref="N54:O54"/>
    <mergeCell ref="J55:K55"/>
    <mergeCell ref="L55:M55"/>
    <mergeCell ref="N55:O55"/>
    <mergeCell ref="J59:K59"/>
    <mergeCell ref="L59:M59"/>
    <mergeCell ref="N59:O59"/>
    <mergeCell ref="J57:K57"/>
    <mergeCell ref="L57:M57"/>
    <mergeCell ref="N58:O58"/>
    <mergeCell ref="L58:M58"/>
  </mergeCells>
  <phoneticPr fontId="0" type="noConversion"/>
  <hyperlinks>
    <hyperlink ref="O62" location="'CP-5'!A1" tooltip="Clique aqui para retornar ao início" display="Volta"/>
  </hyperlinks>
  <printOptions horizontalCentered="1"/>
  <pageMargins left="0.39370078740157483" right="0" top="0.59055118110236227" bottom="0.35433070866141736" header="0.59055118110236227" footer="0.23622047244094491"/>
  <pageSetup paperSize="9" scale="85" orientation="portrait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Q95"/>
  <sheetViews>
    <sheetView showGridLines="0" zoomScale="90" workbookViewId="0">
      <selection activeCell="C2" sqref="C2"/>
    </sheetView>
  </sheetViews>
  <sheetFormatPr defaultColWidth="9.140625" defaultRowHeight="13.35" customHeight="1" outlineLevelCol="1" x14ac:dyDescent="0.2"/>
  <cols>
    <col min="1" max="1" width="0.85546875" style="3" customWidth="1"/>
    <col min="2" max="2" width="1.85546875" style="3" customWidth="1"/>
    <col min="3" max="3" width="12.42578125" style="3" customWidth="1"/>
    <col min="4" max="5" width="13.140625" style="3" customWidth="1"/>
    <col min="6" max="6" width="13.85546875" style="3" customWidth="1"/>
    <col min="7" max="7" width="20.140625" style="3" customWidth="1"/>
    <col min="8" max="8" width="14.140625" style="46" customWidth="1"/>
    <col min="9" max="9" width="9.85546875" style="3" bestFit="1" customWidth="1"/>
    <col min="10" max="10" width="11" style="3" bestFit="1" customWidth="1"/>
    <col min="11" max="11" width="9.140625" style="3" customWidth="1"/>
    <col min="12" max="12" width="5.85546875" style="3" customWidth="1"/>
    <col min="13" max="13" width="12.5703125" style="3" bestFit="1" customWidth="1" outlineLevel="1"/>
    <col min="14" max="14" width="16.5703125" style="3" customWidth="1" outlineLevel="1"/>
    <col min="15" max="15" width="13.5703125" style="3" customWidth="1" outlineLevel="1"/>
    <col min="16" max="16" width="14.5703125" style="3" customWidth="1" outlineLevel="1"/>
    <col min="17" max="17" width="13.5703125" style="3" bestFit="1" customWidth="1" outlineLevel="1"/>
    <col min="18" max="16384" width="9.140625" style="3"/>
  </cols>
  <sheetData>
    <row r="1" spans="2:17" ht="18" customHeight="1" x14ac:dyDescent="0.2"/>
    <row r="2" spans="2:17" ht="13.5" customHeight="1" x14ac:dyDescent="0.2">
      <c r="B2" s="2" t="s">
        <v>196</v>
      </c>
      <c r="C2" s="5"/>
      <c r="D2" s="5"/>
      <c r="E2" s="5"/>
      <c r="F2" s="5"/>
      <c r="G2" s="5"/>
      <c r="H2" s="49"/>
      <c r="I2" s="5"/>
      <c r="J2" s="5"/>
    </row>
    <row r="3" spans="2:17" ht="15" customHeight="1" x14ac:dyDescent="0.2"/>
    <row r="4" spans="2:17" ht="15" customHeight="1" x14ac:dyDescent="0.2">
      <c r="C4" s="559" t="s">
        <v>0</v>
      </c>
      <c r="D4" s="560"/>
      <c r="E4" s="560"/>
      <c r="F4" s="561"/>
      <c r="G4" s="287" t="s">
        <v>98</v>
      </c>
      <c r="H4" s="248" t="s">
        <v>65</v>
      </c>
      <c r="I4" s="249" t="s">
        <v>66</v>
      </c>
      <c r="J4" s="263" t="s">
        <v>67</v>
      </c>
      <c r="M4" s="240" t="s">
        <v>252</v>
      </c>
      <c r="N4" s="240" t="s">
        <v>250</v>
      </c>
      <c r="O4" s="240" t="s">
        <v>249</v>
      </c>
      <c r="P4" s="240" t="s">
        <v>251</v>
      </c>
      <c r="Q4" s="332" t="s">
        <v>1</v>
      </c>
    </row>
    <row r="5" spans="2:17" ht="15" customHeight="1" x14ac:dyDescent="0.2">
      <c r="C5" s="52" t="s">
        <v>179</v>
      </c>
      <c r="D5" s="52"/>
      <c r="E5" s="52"/>
      <c r="F5" s="52"/>
      <c r="G5" s="333">
        <f>Q5*('Dados Gerais'!$J$141)</f>
        <v>0</v>
      </c>
      <c r="H5" s="397">
        <f>Q5*('Dados Gerais'!$J$141)</f>
        <v>0</v>
      </c>
      <c r="I5" s="272">
        <f>IF(('Dados Operacionais'!$I$50+'Dados Operacionais'!J50)=0,0,(H5/('Dados Operacionais'!$I$50+'Dados Operacionais'!J50)))</f>
        <v>0</v>
      </c>
      <c r="J5" s="273">
        <f>IF(('Dados Operacionais'!$I$14+'Dados Operacionais'!J14)=0,0,(H5/('Dados Operacionais'!$I$14+'Dados Operacionais'!J14)))</f>
        <v>0</v>
      </c>
      <c r="M5" s="333">
        <f>('Dados Gerais'!$H$48*'Dados Operacionais'!$G$14)</f>
        <v>0</v>
      </c>
      <c r="N5" s="333">
        <f>'Dados Gerais'!$I$48*'Dados Operacionais'!$H$14</f>
        <v>0</v>
      </c>
      <c r="O5" s="333">
        <f>IF('Dados Gerais'!$J$48="-","-",'Dados Gerais'!$J$48*'Dados Operacionais'!$I$14)</f>
        <v>0</v>
      </c>
      <c r="P5" s="333">
        <f>IF('Dados Gerais'!$K$48="-","-",'Dados Gerais'!$K$48*'Dados Operacionais'!$J$14)</f>
        <v>0</v>
      </c>
      <c r="Q5" s="74">
        <f>SUM(M5:P5)</f>
        <v>0</v>
      </c>
    </row>
    <row r="6" spans="2:17" ht="5.0999999999999996" customHeight="1" x14ac:dyDescent="0.2">
      <c r="C6" s="52"/>
      <c r="E6" s="53"/>
      <c r="G6" s="289"/>
      <c r="H6" s="273"/>
      <c r="I6" s="272"/>
      <c r="J6" s="54"/>
    </row>
    <row r="7" spans="2:17" ht="15" customHeight="1" x14ac:dyDescent="0.2">
      <c r="C7" s="253" t="s">
        <v>99</v>
      </c>
      <c r="D7" s="253"/>
      <c r="E7" s="253"/>
      <c r="F7" s="253"/>
      <c r="G7" s="253"/>
      <c r="H7" s="256">
        <f>SUM(H5:H6)</f>
        <v>0</v>
      </c>
      <c r="I7" s="257">
        <f>+I5</f>
        <v>0</v>
      </c>
      <c r="J7" s="255">
        <f>+J5</f>
        <v>0</v>
      </c>
      <c r="M7" s="333">
        <f>('Dados Gerais'!$H$49*'Dados Operacionais'!$G$11)</f>
        <v>0</v>
      </c>
      <c r="N7" s="333">
        <f>'Dados Gerais'!$I$49*'Dados Operacionais'!$H$11</f>
        <v>0</v>
      </c>
      <c r="O7" s="333">
        <f>+'Dados Gerais'!J49*'Dados Operacionais'!I11</f>
        <v>0</v>
      </c>
      <c r="P7" s="333">
        <f>+'Dados Gerais'!K49*'Dados Operacionais'!J11</f>
        <v>0</v>
      </c>
      <c r="Q7" s="74">
        <f>SUM(M7:P7)</f>
        <v>0</v>
      </c>
    </row>
    <row r="8" spans="2:17" ht="15" customHeight="1" x14ac:dyDescent="0.2"/>
    <row r="9" spans="2:17" ht="15" customHeight="1" x14ac:dyDescent="0.2"/>
    <row r="10" spans="2:17" ht="15" customHeight="1" x14ac:dyDescent="0.2"/>
    <row r="11" spans="2:17" ht="18" customHeight="1" x14ac:dyDescent="0.2">
      <c r="B11" s="2" t="s">
        <v>197</v>
      </c>
      <c r="C11" s="5"/>
      <c r="D11" s="5"/>
      <c r="E11" s="5"/>
      <c r="F11" s="5"/>
      <c r="G11" s="5"/>
      <c r="H11" s="49"/>
      <c r="I11" s="5"/>
      <c r="J11" s="5"/>
    </row>
    <row r="12" spans="2:17" ht="15" customHeight="1" x14ac:dyDescent="0.2"/>
    <row r="13" spans="2:17" ht="15" customHeight="1" x14ac:dyDescent="0.2">
      <c r="C13" s="559" t="s">
        <v>0</v>
      </c>
      <c r="D13" s="560"/>
      <c r="E13" s="560"/>
      <c r="F13" s="561"/>
      <c r="G13" s="287" t="s">
        <v>98</v>
      </c>
      <c r="H13" s="248" t="s">
        <v>65</v>
      </c>
      <c r="I13" s="249" t="s">
        <v>66</v>
      </c>
      <c r="J13" s="250" t="s">
        <v>67</v>
      </c>
    </row>
    <row r="14" spans="2:17" ht="15" customHeight="1" x14ac:dyDescent="0.2">
      <c r="C14" s="52" t="s">
        <v>174</v>
      </c>
      <c r="D14" s="52"/>
      <c r="E14" s="52"/>
      <c r="F14" s="52"/>
      <c r="G14" s="288">
        <f>Q5*('Dados Gerais'!$J$142)</f>
        <v>0</v>
      </c>
      <c r="H14" s="398">
        <f>Q5*('Dados Gerais'!$J$142)</f>
        <v>0</v>
      </c>
      <c r="I14" s="272">
        <f>IF(('Dados Operacionais'!$I$50+'Dados Operacionais'!J50)=0,0,(H14/('Dados Operacionais'!$I$50+'Dados Operacionais'!J50)))</f>
        <v>0</v>
      </c>
      <c r="J14" s="273">
        <f>IF(('Dados Operacionais'!$I$14+'Dados Operacionais'!J14)=0,0,(H14/('Dados Operacionais'!$I$14+'Dados Operacionais'!J14)))</f>
        <v>0</v>
      </c>
    </row>
    <row r="15" spans="2:17" ht="5.0999999999999996" customHeight="1" x14ac:dyDescent="0.2">
      <c r="C15" s="52"/>
      <c r="E15" s="53"/>
      <c r="G15" s="289"/>
      <c r="H15" s="273"/>
      <c r="I15" s="272"/>
      <c r="J15" s="54"/>
    </row>
    <row r="16" spans="2:17" ht="15" customHeight="1" x14ac:dyDescent="0.2">
      <c r="C16" s="253" t="s">
        <v>145</v>
      </c>
      <c r="D16" s="253"/>
      <c r="E16" s="253"/>
      <c r="F16" s="254"/>
      <c r="G16" s="227"/>
      <c r="H16" s="256">
        <f>SUM(H14:H15)</f>
        <v>0</v>
      </c>
      <c r="I16" s="257">
        <f>+I14</f>
        <v>0</v>
      </c>
      <c r="J16" s="258">
        <f>+J14</f>
        <v>0</v>
      </c>
    </row>
    <row r="17" spans="1:10" ht="15" customHeight="1" x14ac:dyDescent="0.2"/>
    <row r="18" spans="1:10" ht="15" customHeight="1" x14ac:dyDescent="0.2"/>
    <row r="19" spans="1:10" ht="15" customHeight="1" x14ac:dyDescent="0.2"/>
    <row r="20" spans="1:10" ht="18" customHeight="1" x14ac:dyDescent="0.2">
      <c r="B20" s="2" t="s">
        <v>198</v>
      </c>
      <c r="C20" s="5"/>
      <c r="D20" s="5"/>
      <c r="E20" s="5"/>
      <c r="F20" s="5"/>
      <c r="G20" s="5"/>
      <c r="H20" s="49"/>
      <c r="I20" s="5"/>
      <c r="J20" s="5"/>
    </row>
    <row r="21" spans="1:10" ht="15" customHeight="1" x14ac:dyDescent="0.2"/>
    <row r="22" spans="1:10" ht="15" customHeight="1" x14ac:dyDescent="0.2">
      <c r="C22" s="559" t="s">
        <v>0</v>
      </c>
      <c r="D22" s="560"/>
      <c r="E22" s="560"/>
      <c r="F22" s="561"/>
      <c r="G22" s="287" t="s">
        <v>98</v>
      </c>
      <c r="H22" s="248" t="s">
        <v>65</v>
      </c>
      <c r="I22" s="249" t="s">
        <v>66</v>
      </c>
      <c r="J22" s="263" t="s">
        <v>67</v>
      </c>
    </row>
    <row r="23" spans="1:10" ht="15" customHeight="1" x14ac:dyDescent="0.2">
      <c r="C23" s="52" t="s">
        <v>175</v>
      </c>
      <c r="D23" s="52"/>
      <c r="E23" s="52"/>
      <c r="F23" s="52"/>
      <c r="G23" s="288">
        <f>Q5*('Dados Gerais'!J145)</f>
        <v>0</v>
      </c>
      <c r="H23" s="398">
        <f>Q5*('Dados Gerais'!J145)</f>
        <v>0</v>
      </c>
      <c r="I23" s="272">
        <f>IF(('Dados Operacionais'!$I$50+'Dados Operacionais'!J50)=0,0,(H23/('Dados Operacionais'!$I$50+'Dados Operacionais'!J50)))</f>
        <v>0</v>
      </c>
      <c r="J23" s="273">
        <f>IF(('Dados Operacionais'!$I$14+'Dados Operacionais'!J14)=0,0,(H23/('Dados Operacionais'!$I$14+'Dados Operacionais'!J14)))</f>
        <v>0</v>
      </c>
    </row>
    <row r="24" spans="1:10" ht="5.0999999999999996" customHeight="1" x14ac:dyDescent="0.2">
      <c r="C24" s="52"/>
      <c r="E24" s="53"/>
      <c r="G24" s="289"/>
      <c r="H24" s="273"/>
      <c r="I24" s="272"/>
      <c r="J24" s="54"/>
    </row>
    <row r="25" spans="1:10" ht="15" customHeight="1" x14ac:dyDescent="0.2">
      <c r="C25" s="253" t="s">
        <v>146</v>
      </c>
      <c r="D25" s="253"/>
      <c r="E25" s="253"/>
      <c r="F25" s="254"/>
      <c r="G25" s="227"/>
      <c r="H25" s="256">
        <f>SUM(H23:H24)</f>
        <v>0</v>
      </c>
      <c r="I25" s="257">
        <f>+I23</f>
        <v>0</v>
      </c>
      <c r="J25" s="255">
        <f>+J23</f>
        <v>0</v>
      </c>
    </row>
    <row r="26" spans="1:10" ht="15" customHeight="1" x14ac:dyDescent="0.2"/>
    <row r="27" spans="1:10" ht="15" customHeight="1" x14ac:dyDescent="0.2"/>
    <row r="30" spans="1:10" ht="18" customHeight="1" x14ac:dyDescent="0.25">
      <c r="A30" s="48" t="s">
        <v>100</v>
      </c>
      <c r="B30" s="345"/>
      <c r="C30" s="5"/>
      <c r="D30" s="5"/>
      <c r="E30" s="5"/>
      <c r="F30" s="5"/>
      <c r="G30" s="5"/>
      <c r="H30" s="49"/>
      <c r="I30" s="5"/>
      <c r="J30" s="5"/>
    </row>
    <row r="31" spans="1:10" ht="15" customHeight="1" x14ac:dyDescent="0.2">
      <c r="B31" s="28"/>
      <c r="C31" s="43"/>
      <c r="D31" s="43"/>
      <c r="E31" s="43"/>
      <c r="F31" s="40"/>
      <c r="G31" s="41"/>
      <c r="H31" s="69"/>
      <c r="I31" s="41"/>
      <c r="J31" s="42"/>
    </row>
    <row r="32" spans="1:10" ht="15" customHeight="1" x14ac:dyDescent="0.2">
      <c r="B32" s="28"/>
      <c r="C32" s="559" t="s">
        <v>0</v>
      </c>
      <c r="D32" s="560"/>
      <c r="E32" s="560"/>
      <c r="F32" s="560"/>
      <c r="G32" s="561"/>
      <c r="H32" s="248" t="s">
        <v>65</v>
      </c>
      <c r="I32" s="249" t="s">
        <v>66</v>
      </c>
      <c r="J32" s="263" t="s">
        <v>67</v>
      </c>
    </row>
    <row r="33" spans="2:10" ht="15" customHeight="1" x14ac:dyDescent="0.2">
      <c r="B33" s="28"/>
      <c r="C33" s="85" t="s">
        <v>227</v>
      </c>
      <c r="D33" s="86"/>
      <c r="E33" s="86"/>
      <c r="F33" s="86"/>
      <c r="G33" s="86"/>
      <c r="H33" s="291">
        <f>'Custos Fixos'!H17</f>
        <v>0</v>
      </c>
      <c r="I33" s="272">
        <f>+'Custos Fixos'!I17</f>
        <v>0</v>
      </c>
      <c r="J33" s="54">
        <f>+'Custos Fixos'!J17</f>
        <v>0</v>
      </c>
    </row>
    <row r="34" spans="2:10" ht="15" customHeight="1" x14ac:dyDescent="0.2">
      <c r="B34" s="28"/>
      <c r="C34" s="85" t="s">
        <v>259</v>
      </c>
      <c r="D34" s="86"/>
      <c r="E34" s="86"/>
      <c r="F34" s="86"/>
      <c r="G34" s="86"/>
      <c r="H34" s="291">
        <f>'Custos Fixos'!H25</f>
        <v>0</v>
      </c>
      <c r="I34" s="272">
        <f>+'Custos Fixos'!I23</f>
        <v>0</v>
      </c>
      <c r="J34" s="54">
        <f>+'Custos Fixos'!J23</f>
        <v>0</v>
      </c>
    </row>
    <row r="35" spans="2:10" ht="15" customHeight="1" x14ac:dyDescent="0.2">
      <c r="B35" s="28"/>
      <c r="C35" s="85" t="s">
        <v>264</v>
      </c>
      <c r="D35" s="86"/>
      <c r="E35" s="86"/>
      <c r="F35" s="86"/>
      <c r="G35" s="86"/>
      <c r="H35" s="291">
        <f>'Custos Fixos'!H33</f>
        <v>0</v>
      </c>
      <c r="I35" s="272">
        <f>+'Custos Fixos'!I31</f>
        <v>0</v>
      </c>
      <c r="J35" s="54">
        <f>+'Custos Fixos'!J31</f>
        <v>0</v>
      </c>
    </row>
    <row r="36" spans="2:10" ht="15" customHeight="1" x14ac:dyDescent="0.2">
      <c r="B36" s="28"/>
      <c r="C36" s="85" t="s">
        <v>101</v>
      </c>
      <c r="D36" s="86"/>
      <c r="E36" s="86"/>
      <c r="F36" s="86"/>
      <c r="G36" s="86"/>
      <c r="H36" s="291">
        <f>'Custos Fixos'!H43</f>
        <v>0</v>
      </c>
      <c r="I36" s="272">
        <f>IF('Dados Operacionais'!$K$50=0,0,(H36/'Dados Operacionais'!$K$50))</f>
        <v>0</v>
      </c>
      <c r="J36" s="54">
        <f>IF('Dados Operacionais'!$K$14=0,0,(H36/'Dados Operacionais'!$K$14))</f>
        <v>0</v>
      </c>
    </row>
    <row r="37" spans="2:10" ht="15" customHeight="1" x14ac:dyDescent="0.2">
      <c r="B37" s="28"/>
      <c r="C37" s="85" t="s">
        <v>102</v>
      </c>
      <c r="D37" s="86"/>
      <c r="E37" s="86"/>
      <c r="F37" s="86"/>
      <c r="G37" s="86"/>
      <c r="H37" s="291">
        <f>'Custos Fixos'!H51</f>
        <v>0</v>
      </c>
      <c r="I37" s="272">
        <f>+'Custos Fixos'!I49</f>
        <v>0</v>
      </c>
      <c r="J37" s="54">
        <f>+'Custos Fixos'!J49</f>
        <v>0</v>
      </c>
    </row>
    <row r="38" spans="2:10" ht="15" customHeight="1" x14ac:dyDescent="0.2">
      <c r="B38" s="28"/>
      <c r="C38" s="85" t="s">
        <v>103</v>
      </c>
      <c r="D38" s="86"/>
      <c r="E38" s="86"/>
      <c r="F38" s="86"/>
      <c r="G38" s="86"/>
      <c r="H38" s="291">
        <f>'Custos Fixos'!H61</f>
        <v>0</v>
      </c>
      <c r="I38" s="272">
        <f>+'Custos Fixos'!I59</f>
        <v>0</v>
      </c>
      <c r="J38" s="54">
        <f>+'Custos Fixos'!J59</f>
        <v>0</v>
      </c>
    </row>
    <row r="39" spans="2:10" ht="15" customHeight="1" x14ac:dyDescent="0.2">
      <c r="B39" s="28"/>
      <c r="C39" s="85" t="s">
        <v>295</v>
      </c>
      <c r="D39" s="86"/>
      <c r="E39" s="86"/>
      <c r="F39" s="86"/>
      <c r="G39" s="86"/>
      <c r="H39" s="291">
        <f>+'Custos Fixos'!H80</f>
        <v>0</v>
      </c>
      <c r="I39" s="272">
        <f>+'Custos Fixos'!I80</f>
        <v>0</v>
      </c>
      <c r="J39" s="54">
        <f>+'Custos Fixos'!J80</f>
        <v>0</v>
      </c>
    </row>
    <row r="40" spans="2:10" ht="15" customHeight="1" x14ac:dyDescent="0.2">
      <c r="B40" s="28"/>
      <c r="C40" s="85" t="s">
        <v>297</v>
      </c>
      <c r="D40" s="86"/>
      <c r="E40" s="86"/>
      <c r="F40" s="86"/>
      <c r="G40" s="86"/>
      <c r="H40" s="291">
        <f>+'Custos Fixos'!H88</f>
        <v>0</v>
      </c>
      <c r="I40" s="272">
        <f>+'Custos Fixos'!I88</f>
        <v>0</v>
      </c>
      <c r="J40" s="516">
        <f>+'Custos Fixos'!J88</f>
        <v>0</v>
      </c>
    </row>
    <row r="41" spans="2:10" ht="15" customHeight="1" x14ac:dyDescent="0.2">
      <c r="B41" s="28"/>
      <c r="C41" s="85" t="s">
        <v>296</v>
      </c>
      <c r="D41" s="86"/>
      <c r="E41" s="86"/>
      <c r="F41" s="86"/>
      <c r="G41" s="86"/>
      <c r="H41" s="291">
        <f>'Custos Fixos'!H70</f>
        <v>0</v>
      </c>
      <c r="I41" s="272">
        <f>IF('Dados Operacionais'!$K$50=0,0,(H41/'Dados Operacionais'!$K$50))</f>
        <v>0</v>
      </c>
      <c r="J41" s="54">
        <f>IF('Dados Operacionais'!$K$14=0,0,(H41/'Dados Operacionais'!$K$14))</f>
        <v>0</v>
      </c>
    </row>
    <row r="42" spans="2:10" ht="15" customHeight="1" x14ac:dyDescent="0.2">
      <c r="B42" s="28"/>
      <c r="C42" s="85" t="s">
        <v>104</v>
      </c>
      <c r="D42" s="86"/>
      <c r="E42" s="86"/>
      <c r="F42" s="86"/>
      <c r="G42" s="86"/>
      <c r="H42" s="291">
        <f>+'Custos de Capital'!J33</f>
        <v>0</v>
      </c>
      <c r="I42" s="272">
        <f>IF('Dados Operacionais'!$K$50=0,0,(H42/'Dados Operacionais'!$K$50))</f>
        <v>0</v>
      </c>
      <c r="J42" s="54">
        <f>IF('Dados Operacionais'!$K$14=0,0,(H42/'Dados Operacionais'!$K$14))</f>
        <v>0</v>
      </c>
    </row>
    <row r="43" spans="2:10" ht="15" customHeight="1" x14ac:dyDescent="0.2">
      <c r="B43" s="28"/>
      <c r="C43" s="85" t="s">
        <v>105</v>
      </c>
      <c r="E43" s="53"/>
      <c r="G43" s="86"/>
      <c r="H43" s="291">
        <f>H7</f>
        <v>0</v>
      </c>
      <c r="I43" s="272">
        <f>+I5</f>
        <v>0</v>
      </c>
      <c r="J43" s="54">
        <f>+J5</f>
        <v>0</v>
      </c>
    </row>
    <row r="44" spans="2:10" ht="15" customHeight="1" x14ac:dyDescent="0.2">
      <c r="B44" s="28"/>
      <c r="C44" s="85" t="s">
        <v>106</v>
      </c>
      <c r="D44" s="86"/>
      <c r="E44" s="86"/>
      <c r="F44" s="86"/>
      <c r="G44" s="86"/>
      <c r="H44" s="291" t="e">
        <f>+'Custos de Capital'!J59</f>
        <v>#VALUE!</v>
      </c>
      <c r="I44" s="272">
        <f>IF('Dados Operacionais'!$K$50=0,0,(H44/'Dados Operacionais'!$K$50))</f>
        <v>0</v>
      </c>
      <c r="J44" s="54">
        <f>IF('Dados Operacionais'!$K$14=0,0,(H44/'Dados Operacionais'!$K$14))</f>
        <v>0</v>
      </c>
    </row>
    <row r="45" spans="2:10" ht="15" customHeight="1" x14ac:dyDescent="0.2">
      <c r="B45" s="28"/>
      <c r="C45" s="85" t="s">
        <v>107</v>
      </c>
      <c r="E45" s="53"/>
      <c r="H45" s="292">
        <f>H16</f>
        <v>0</v>
      </c>
      <c r="I45" s="272">
        <f>+I14</f>
        <v>0</v>
      </c>
      <c r="J45" s="54">
        <f>+J14</f>
        <v>0</v>
      </c>
    </row>
    <row r="46" spans="2:10" ht="15" customHeight="1" x14ac:dyDescent="0.2">
      <c r="B46" s="28"/>
      <c r="C46" s="85" t="s">
        <v>108</v>
      </c>
      <c r="E46" s="53"/>
      <c r="H46" s="292">
        <f>H25</f>
        <v>0</v>
      </c>
      <c r="I46" s="272">
        <f>+I23</f>
        <v>0</v>
      </c>
      <c r="J46" s="54">
        <f>+J23</f>
        <v>0</v>
      </c>
    </row>
    <row r="47" spans="2:10" ht="15" customHeight="1" x14ac:dyDescent="0.2">
      <c r="B47" s="28"/>
      <c r="C47" s="260" t="s">
        <v>109</v>
      </c>
      <c r="D47" s="290"/>
      <c r="E47" s="265"/>
      <c r="F47" s="254"/>
      <c r="G47" s="254"/>
      <c r="H47" s="256" t="e">
        <f>SUM(H33:H46)</f>
        <v>#VALUE!</v>
      </c>
      <c r="I47" s="257">
        <f>SUM(I33:I46)</f>
        <v>0</v>
      </c>
      <c r="J47" s="255">
        <f>SUM(J33:J46)</f>
        <v>0</v>
      </c>
    </row>
    <row r="48" spans="2:10" ht="15" customHeight="1" x14ac:dyDescent="0.2">
      <c r="B48" s="28"/>
      <c r="C48" s="70"/>
      <c r="D48" s="87"/>
      <c r="E48" s="58"/>
      <c r="H48" s="79"/>
      <c r="I48" s="83"/>
      <c r="J48" s="79"/>
    </row>
    <row r="49" spans="1:10" ht="15" customHeight="1" x14ac:dyDescent="0.2">
      <c r="B49" s="28"/>
      <c r="C49" s="70"/>
      <c r="D49" s="87"/>
      <c r="E49" s="58"/>
      <c r="H49" s="79"/>
      <c r="I49" s="83"/>
      <c r="J49" s="79"/>
    </row>
    <row r="50" spans="1:10" ht="15" customHeight="1" x14ac:dyDescent="0.2">
      <c r="B50" s="28"/>
      <c r="C50" s="70"/>
      <c r="D50" s="87"/>
      <c r="E50" s="58"/>
      <c r="H50" s="79"/>
      <c r="I50" s="83"/>
      <c r="J50" s="79"/>
    </row>
    <row r="51" spans="1:10" ht="18" customHeight="1" x14ac:dyDescent="0.25">
      <c r="A51" s="48" t="s">
        <v>110</v>
      </c>
      <c r="B51" s="345"/>
      <c r="C51" s="5"/>
      <c r="D51" s="5"/>
      <c r="E51" s="5"/>
      <c r="F51" s="5"/>
      <c r="G51" s="5"/>
      <c r="H51" s="49"/>
      <c r="I51" s="5"/>
      <c r="J51" s="5"/>
    </row>
    <row r="52" spans="1:10" ht="15" customHeight="1" x14ac:dyDescent="0.2">
      <c r="B52" s="28"/>
      <c r="C52" s="70"/>
      <c r="D52" s="87"/>
      <c r="E52" s="58"/>
      <c r="H52" s="79"/>
      <c r="I52" s="83"/>
      <c r="J52" s="79"/>
    </row>
    <row r="53" spans="1:10" ht="15" customHeight="1" x14ac:dyDescent="0.2">
      <c r="B53" s="28"/>
      <c r="C53" s="562" t="s">
        <v>0</v>
      </c>
      <c r="D53" s="562"/>
      <c r="E53" s="562"/>
      <c r="F53" s="562"/>
      <c r="G53" s="559"/>
      <c r="H53" s="248" t="s">
        <v>65</v>
      </c>
      <c r="I53" s="249" t="s">
        <v>66</v>
      </c>
      <c r="J53" s="250" t="s">
        <v>67</v>
      </c>
    </row>
    <row r="54" spans="1:10" ht="15" customHeight="1" x14ac:dyDescent="0.2">
      <c r="B54" s="28"/>
      <c r="C54" s="293"/>
      <c r="D54" s="294"/>
      <c r="E54" s="295"/>
      <c r="F54" s="119"/>
      <c r="G54" s="225"/>
      <c r="H54" s="298"/>
      <c r="I54" s="299"/>
      <c r="J54" s="300"/>
    </row>
    <row r="55" spans="1:10" ht="15" customHeight="1" x14ac:dyDescent="0.2">
      <c r="B55" s="28"/>
      <c r="C55" s="134" t="s">
        <v>81</v>
      </c>
      <c r="D55" s="134"/>
      <c r="E55" s="134"/>
      <c r="F55" s="119"/>
      <c r="G55" s="225"/>
      <c r="H55" s="298">
        <f>'Custos Variáveis'!H67</f>
        <v>0</v>
      </c>
      <c r="I55" s="299">
        <f>+'Custos Variáveis'!I67</f>
        <v>0</v>
      </c>
      <c r="J55" s="300">
        <f>+'Custos Variáveis'!J67</f>
        <v>0</v>
      </c>
    </row>
    <row r="56" spans="1:10" ht="15" customHeight="1" x14ac:dyDescent="0.2">
      <c r="B56" s="28"/>
      <c r="C56" s="119"/>
      <c r="D56" s="294"/>
      <c r="E56" s="295"/>
      <c r="F56" s="119"/>
      <c r="G56" s="225"/>
      <c r="H56" s="298"/>
      <c r="I56" s="299"/>
      <c r="J56" s="300"/>
    </row>
    <row r="57" spans="1:10" ht="15" customHeight="1" x14ac:dyDescent="0.2">
      <c r="B57" s="28"/>
      <c r="C57" s="134" t="s">
        <v>109</v>
      </c>
      <c r="D57" s="134"/>
      <c r="E57" s="295"/>
      <c r="F57" s="119"/>
      <c r="G57" s="225"/>
      <c r="H57" s="298" t="e">
        <f>H47</f>
        <v>#VALUE!</v>
      </c>
      <c r="I57" s="299">
        <f>+I47</f>
        <v>0</v>
      </c>
      <c r="J57" s="300">
        <f>+J47</f>
        <v>0</v>
      </c>
    </row>
    <row r="58" spans="1:10" ht="15" customHeight="1" x14ac:dyDescent="0.2">
      <c r="B58" s="28"/>
      <c r="C58" s="134"/>
      <c r="D58" s="134"/>
      <c r="E58" s="295"/>
      <c r="F58" s="119"/>
      <c r="G58" s="225"/>
      <c r="H58" s="298"/>
      <c r="I58" s="299"/>
      <c r="J58" s="300"/>
    </row>
    <row r="59" spans="1:10" ht="15" customHeight="1" x14ac:dyDescent="0.2">
      <c r="B59" s="28"/>
      <c r="C59" s="134" t="s">
        <v>244</v>
      </c>
      <c r="D59" s="134"/>
      <c r="E59" s="295"/>
      <c r="F59" s="119"/>
      <c r="G59" s="225"/>
      <c r="H59" s="298" t="e">
        <f>+'Dados Gerais'!J148*('Custos Fixos II'!H55+H57)</f>
        <v>#VALUE!</v>
      </c>
      <c r="I59" s="299" t="e">
        <f>+H59/'Dados Operacionais'!K50</f>
        <v>#VALUE!</v>
      </c>
      <c r="J59" s="300" t="e">
        <f>+H59/'Dados Operacionais'!K36</f>
        <v>#VALUE!</v>
      </c>
    </row>
    <row r="60" spans="1:10" ht="15" customHeight="1" x14ac:dyDescent="0.2">
      <c r="B60" s="28"/>
      <c r="C60" s="293"/>
      <c r="D60" s="294"/>
      <c r="E60" s="295"/>
      <c r="F60" s="119"/>
      <c r="G60" s="225"/>
      <c r="H60" s="298"/>
      <c r="I60" s="299"/>
      <c r="J60" s="300"/>
    </row>
    <row r="61" spans="1:10" ht="15" customHeight="1" x14ac:dyDescent="0.2">
      <c r="B61" s="28"/>
      <c r="C61" s="296" t="s">
        <v>245</v>
      </c>
      <c r="D61" s="296"/>
      <c r="E61" s="297"/>
      <c r="F61" s="222"/>
      <c r="G61" s="226"/>
      <c r="H61" s="399" t="e">
        <f>+H55+H57+H59</f>
        <v>#VALUE!</v>
      </c>
      <c r="I61" s="404" t="e">
        <f>+I55+I57+I59</f>
        <v>#VALUE!</v>
      </c>
      <c r="J61" s="400" t="e">
        <f>+J55+J57+J59</f>
        <v>#VALUE!</v>
      </c>
    </row>
    <row r="63" spans="1:10" ht="13.35" customHeight="1" x14ac:dyDescent="0.2">
      <c r="H63" s="71"/>
      <c r="J63" s="142" t="s">
        <v>148</v>
      </c>
    </row>
    <row r="75" spans="3:3" ht="13.35" customHeight="1" x14ac:dyDescent="0.2">
      <c r="C75" s="88"/>
    </row>
    <row r="76" spans="3:3" ht="13.35" customHeight="1" x14ac:dyDescent="0.2">
      <c r="C76" s="88"/>
    </row>
    <row r="77" spans="3:3" ht="13.35" customHeight="1" x14ac:dyDescent="0.2">
      <c r="C77" s="88"/>
    </row>
    <row r="78" spans="3:3" ht="13.35" customHeight="1" x14ac:dyDescent="0.2">
      <c r="C78" s="88"/>
    </row>
    <row r="79" spans="3:3" ht="13.35" customHeight="1" x14ac:dyDescent="0.2">
      <c r="C79" s="88"/>
    </row>
    <row r="80" spans="3:3" ht="13.35" customHeight="1" x14ac:dyDescent="0.2">
      <c r="C80" s="88"/>
    </row>
    <row r="81" spans="3:3" ht="13.35" customHeight="1" x14ac:dyDescent="0.2">
      <c r="C81" s="88"/>
    </row>
    <row r="82" spans="3:3" ht="13.35" customHeight="1" x14ac:dyDescent="0.2">
      <c r="C82" s="88"/>
    </row>
    <row r="83" spans="3:3" ht="13.35" customHeight="1" x14ac:dyDescent="0.2">
      <c r="C83" s="88"/>
    </row>
    <row r="84" spans="3:3" ht="13.35" customHeight="1" x14ac:dyDescent="0.2">
      <c r="C84" s="88"/>
    </row>
    <row r="85" spans="3:3" ht="13.35" customHeight="1" x14ac:dyDescent="0.2">
      <c r="C85" s="88"/>
    </row>
    <row r="86" spans="3:3" ht="13.35" customHeight="1" x14ac:dyDescent="0.2">
      <c r="C86" s="88"/>
    </row>
    <row r="87" spans="3:3" ht="13.35" customHeight="1" x14ac:dyDescent="0.2">
      <c r="C87" s="88"/>
    </row>
    <row r="88" spans="3:3" ht="13.35" customHeight="1" x14ac:dyDescent="0.2">
      <c r="C88" s="88"/>
    </row>
    <row r="89" spans="3:3" ht="13.35" customHeight="1" x14ac:dyDescent="0.2">
      <c r="C89" s="88"/>
    </row>
    <row r="90" spans="3:3" ht="13.35" customHeight="1" x14ac:dyDescent="0.2">
      <c r="C90" s="88"/>
    </row>
    <row r="91" spans="3:3" ht="13.35" customHeight="1" x14ac:dyDescent="0.2">
      <c r="C91" s="88"/>
    </row>
    <row r="92" spans="3:3" ht="13.35" customHeight="1" x14ac:dyDescent="0.2">
      <c r="C92" s="88"/>
    </row>
    <row r="93" spans="3:3" ht="13.35" customHeight="1" x14ac:dyDescent="0.2">
      <c r="C93" s="88"/>
    </row>
    <row r="94" spans="3:3" ht="13.35" customHeight="1" x14ac:dyDescent="0.2">
      <c r="C94" s="88"/>
    </row>
    <row r="95" spans="3:3" ht="13.35" customHeight="1" x14ac:dyDescent="0.2">
      <c r="C95" s="88"/>
    </row>
  </sheetData>
  <mergeCells count="5">
    <mergeCell ref="C32:G32"/>
    <mergeCell ref="C53:G53"/>
    <mergeCell ref="C4:F4"/>
    <mergeCell ref="C13:F13"/>
    <mergeCell ref="C22:F22"/>
  </mergeCells>
  <phoneticPr fontId="0" type="noConversion"/>
  <hyperlinks>
    <hyperlink ref="J63" location="'CP-4'!A1" tooltip="Clique aqui para retornar ao início" display="Volta"/>
  </hyperlinks>
  <printOptions horizontalCentered="1"/>
  <pageMargins left="0.39370078740157483" right="0" top="0.59055118110236227" bottom="0.78740157480314965" header="0.59055118110236227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64"/>
  <sheetViews>
    <sheetView showGridLines="0" zoomScale="90" workbookViewId="0">
      <selection activeCell="C2" sqref="C2"/>
    </sheetView>
  </sheetViews>
  <sheetFormatPr defaultColWidth="9.140625" defaultRowHeight="13.35" customHeight="1" x14ac:dyDescent="0.2"/>
  <cols>
    <col min="1" max="1" width="0.85546875" style="3" customWidth="1"/>
    <col min="2" max="2" width="1.85546875" style="3" customWidth="1"/>
    <col min="3" max="3" width="4" style="3" customWidth="1"/>
    <col min="4" max="4" width="12" style="3" customWidth="1"/>
    <col min="5" max="5" width="12.140625" style="3" customWidth="1"/>
    <col min="6" max="6" width="19.5703125" style="3" customWidth="1"/>
    <col min="7" max="7" width="15.85546875" style="3" customWidth="1"/>
    <col min="8" max="8" width="12.85546875" style="46" customWidth="1"/>
    <col min="9" max="9" width="9.85546875" style="3" bestFit="1" customWidth="1"/>
    <col min="10" max="10" width="11" style="3" bestFit="1" customWidth="1"/>
    <col min="11" max="11" width="10" style="3" customWidth="1"/>
    <col min="12" max="16384" width="9.140625" style="3"/>
  </cols>
  <sheetData>
    <row r="1" spans="1:11" ht="18" customHeight="1" x14ac:dyDescent="0.2"/>
    <row r="2" spans="1:11" ht="18" customHeight="1" x14ac:dyDescent="0.25">
      <c r="A2" s="48" t="s">
        <v>111</v>
      </c>
      <c r="B2" s="4"/>
      <c r="C2" s="4"/>
      <c r="D2" s="4"/>
      <c r="E2" s="4"/>
      <c r="F2" s="4"/>
      <c r="G2" s="4"/>
      <c r="H2" s="47"/>
      <c r="I2" s="4"/>
      <c r="J2" s="4"/>
      <c r="K2" s="4"/>
    </row>
    <row r="6" spans="1:11" ht="18" customHeight="1" x14ac:dyDescent="0.2">
      <c r="C6" s="559" t="s">
        <v>112</v>
      </c>
      <c r="D6" s="560"/>
      <c r="E6" s="560"/>
      <c r="F6" s="560"/>
      <c r="G6" s="560"/>
      <c r="H6" s="301" t="s">
        <v>65</v>
      </c>
      <c r="I6" s="301" t="s">
        <v>66</v>
      </c>
      <c r="J6" s="301" t="s">
        <v>67</v>
      </c>
      <c r="K6" s="302" t="s">
        <v>113</v>
      </c>
    </row>
    <row r="7" spans="1:11" ht="13.35" customHeight="1" x14ac:dyDescent="0.2">
      <c r="C7" s="86"/>
      <c r="D7" s="86"/>
      <c r="E7" s="86"/>
      <c r="F7" s="86"/>
      <c r="G7" s="86"/>
      <c r="H7" s="89"/>
      <c r="I7" s="90"/>
      <c r="J7" s="90"/>
      <c r="K7" s="90"/>
    </row>
    <row r="8" spans="1:11" ht="13.35" customHeight="1" x14ac:dyDescent="0.2">
      <c r="C8" s="86"/>
      <c r="D8" s="86"/>
      <c r="E8" s="86"/>
      <c r="F8" s="86"/>
      <c r="G8" s="86"/>
      <c r="H8" s="89"/>
      <c r="I8" s="90"/>
      <c r="J8" s="90"/>
      <c r="K8" s="90"/>
    </row>
    <row r="9" spans="1:11" ht="13.35" customHeight="1" x14ac:dyDescent="0.2">
      <c r="C9" s="91" t="s">
        <v>114</v>
      </c>
      <c r="D9" s="86"/>
      <c r="E9" s="86"/>
      <c r="F9" s="86"/>
      <c r="G9" s="86"/>
      <c r="H9" s="89"/>
      <c r="I9" s="90"/>
      <c r="J9" s="90"/>
      <c r="K9" s="90"/>
    </row>
    <row r="10" spans="1:11" ht="13.35" customHeight="1" x14ac:dyDescent="0.2">
      <c r="D10" s="93" t="s">
        <v>77</v>
      </c>
      <c r="E10" s="93"/>
      <c r="H10" s="71">
        <f>'Custos Variáveis'!H61</f>
        <v>0</v>
      </c>
      <c r="I10" s="55">
        <f>IF('Dados Operacionais'!$K$50=0,0,(H10/'Dados Operacionais'!$K$50))</f>
        <v>0</v>
      </c>
      <c r="J10" s="54">
        <f>IF('Dados Operacionais'!$K$14=0,0,(H10/'Dados Operacionais'!$K$14))</f>
        <v>0</v>
      </c>
      <c r="K10" s="94">
        <f t="shared" ref="K10:K16" si="0">IF(H10=0,0,H10/$H$58)</f>
        <v>0</v>
      </c>
    </row>
    <row r="11" spans="1:11" ht="13.35" customHeight="1" x14ac:dyDescent="0.2">
      <c r="D11" s="483" t="s">
        <v>233</v>
      </c>
      <c r="E11" s="93"/>
      <c r="H11" s="71">
        <f>+'Custos Variáveis'!H62</f>
        <v>0</v>
      </c>
      <c r="I11" s="55">
        <f>IF('Dados Operacionais'!$K$50=0,0,(H11/'Dados Operacionais'!$K$50))</f>
        <v>0</v>
      </c>
      <c r="J11" s="471">
        <f>IF('Dados Operacionais'!$K$14=0,0,(H11/'Dados Operacionais'!$K$14))</f>
        <v>0</v>
      </c>
      <c r="K11" s="94">
        <f t="shared" si="0"/>
        <v>0</v>
      </c>
    </row>
    <row r="12" spans="1:11" ht="13.35" customHeight="1" x14ac:dyDescent="0.2">
      <c r="D12" s="93" t="s">
        <v>78</v>
      </c>
      <c r="E12" s="93"/>
      <c r="H12" s="71">
        <f>'Custos Variáveis'!H63</f>
        <v>0</v>
      </c>
      <c r="I12" s="55">
        <f>IF('Dados Operacionais'!$K$50=0,0,(H12/'Dados Operacionais'!$K$50))</f>
        <v>0</v>
      </c>
      <c r="J12" s="54">
        <f>IF('Dados Operacionais'!$K$14=0,0,(H12/'Dados Operacionais'!$K$14))</f>
        <v>0</v>
      </c>
      <c r="K12" s="94">
        <f t="shared" si="0"/>
        <v>0</v>
      </c>
    </row>
    <row r="13" spans="1:11" ht="13.35" customHeight="1" x14ac:dyDescent="0.2">
      <c r="D13" s="93" t="s">
        <v>79</v>
      </c>
      <c r="E13" s="93"/>
      <c r="F13" s="93"/>
      <c r="H13" s="71">
        <f>'Custos Variáveis'!H64</f>
        <v>0</v>
      </c>
      <c r="I13" s="55">
        <f>IF('Dados Operacionais'!$K$50=0,0,(H13/'Dados Operacionais'!$K$50))</f>
        <v>0</v>
      </c>
      <c r="J13" s="54">
        <f>IF('Dados Operacionais'!$K$14=0,0,(H13/'Dados Operacionais'!$K$14))</f>
        <v>0</v>
      </c>
      <c r="K13" s="94">
        <f t="shared" si="0"/>
        <v>0</v>
      </c>
    </row>
    <row r="14" spans="1:11" ht="13.35" customHeight="1" x14ac:dyDescent="0.2">
      <c r="D14" s="482" t="s">
        <v>80</v>
      </c>
      <c r="E14" s="482"/>
      <c r="F14" s="119"/>
      <c r="G14" s="119"/>
      <c r="H14" s="318">
        <f>'Custos Variáveis'!H65</f>
        <v>0</v>
      </c>
      <c r="I14" s="470">
        <f>IF('Dados Operacionais'!$K$50=0,0,(H14/'Dados Operacionais'!$K$50))</f>
        <v>0</v>
      </c>
      <c r="J14" s="469">
        <f>IF('Dados Operacionais'!$K$14=0,0,(H14/'Dados Operacionais'!$K$14))</f>
        <v>0</v>
      </c>
      <c r="K14" s="319">
        <f t="shared" si="0"/>
        <v>0</v>
      </c>
    </row>
    <row r="15" spans="1:11" ht="13.35" customHeight="1" x14ac:dyDescent="0.2">
      <c r="D15" s="325" t="s">
        <v>242</v>
      </c>
      <c r="E15" s="325"/>
      <c r="F15" s="222"/>
      <c r="G15" s="222"/>
      <c r="H15" s="321">
        <f>+'Custos Variáveis'!H56</f>
        <v>0</v>
      </c>
      <c r="I15" s="484">
        <f>IF('Dados Operacionais'!$K$50=0,0,(H15/'Dados Operacionais'!$K$50))</f>
        <v>0</v>
      </c>
      <c r="J15" s="485">
        <f>IF('Dados Operacionais'!$K$14=0,0,(H15/'Dados Operacionais'!$K$14))</f>
        <v>0</v>
      </c>
      <c r="K15" s="486">
        <f t="shared" si="0"/>
        <v>0</v>
      </c>
    </row>
    <row r="16" spans="1:11" ht="13.35" customHeight="1" x14ac:dyDescent="0.2">
      <c r="D16" s="85"/>
      <c r="G16" s="81" t="s">
        <v>115</v>
      </c>
      <c r="H16" s="95">
        <f>SUM(H10:H15)</f>
        <v>0</v>
      </c>
      <c r="I16" s="83">
        <f>SUM(I10:I15)</f>
        <v>0</v>
      </c>
      <c r="J16" s="79">
        <f>SUM(J10:J15)</f>
        <v>0</v>
      </c>
      <c r="K16" s="96">
        <f t="shared" si="0"/>
        <v>0</v>
      </c>
    </row>
    <row r="17" spans="3:12" ht="13.35" customHeight="1" x14ac:dyDescent="0.2">
      <c r="D17" s="85"/>
      <c r="G17" s="81"/>
      <c r="I17" s="55"/>
      <c r="J17" s="54"/>
      <c r="K17" s="94"/>
    </row>
    <row r="18" spans="3:12" ht="13.35" customHeight="1" x14ac:dyDescent="0.2">
      <c r="D18" s="85"/>
      <c r="G18" s="81"/>
      <c r="I18" s="55"/>
      <c r="J18" s="54"/>
      <c r="K18" s="94"/>
    </row>
    <row r="19" spans="3:12" ht="13.35" customHeight="1" x14ac:dyDescent="0.2">
      <c r="D19" s="85"/>
      <c r="I19" s="55"/>
      <c r="J19" s="54"/>
      <c r="K19" s="94"/>
    </row>
    <row r="20" spans="3:12" ht="13.35" customHeight="1" x14ac:dyDescent="0.2">
      <c r="C20" s="91" t="s">
        <v>200</v>
      </c>
      <c r="D20" s="85"/>
      <c r="I20" s="55"/>
      <c r="J20" s="54"/>
      <c r="K20" s="94"/>
    </row>
    <row r="21" spans="3:12" ht="13.35" customHeight="1" x14ac:dyDescent="0.2">
      <c r="C21" s="91"/>
      <c r="D21" s="317" t="s">
        <v>227</v>
      </c>
      <c r="E21" s="119"/>
      <c r="F21" s="119"/>
      <c r="G21" s="119"/>
      <c r="H21" s="318">
        <f>'Custos Fixos II'!H33</f>
        <v>0</v>
      </c>
      <c r="I21" s="251">
        <f>+'Custos Fixos II'!I33</f>
        <v>0</v>
      </c>
      <c r="J21" s="252">
        <f>+'Custos Fixos II'!J33</f>
        <v>0</v>
      </c>
      <c r="K21" s="319">
        <f t="shared" ref="K21:K26" si="1">IF(H21=0,0,H21/$H$58)</f>
        <v>0</v>
      </c>
    </row>
    <row r="22" spans="3:12" ht="13.35" customHeight="1" x14ac:dyDescent="0.2">
      <c r="D22" s="317" t="s">
        <v>259</v>
      </c>
      <c r="E22" s="119"/>
      <c r="F22" s="119"/>
      <c r="G22" s="119"/>
      <c r="H22" s="318">
        <f>'Custos Fixos II'!H34</f>
        <v>0</v>
      </c>
      <c r="I22" s="251">
        <f>+'Custos Fixos'!I23</f>
        <v>0</v>
      </c>
      <c r="J22" s="252">
        <f>+'Custos Fixos'!J23</f>
        <v>0</v>
      </c>
      <c r="K22" s="319">
        <f t="shared" si="1"/>
        <v>0</v>
      </c>
    </row>
    <row r="23" spans="3:12" ht="13.35" customHeight="1" x14ac:dyDescent="0.2">
      <c r="D23" s="317" t="s">
        <v>264</v>
      </c>
      <c r="E23" s="119"/>
      <c r="F23" s="119"/>
      <c r="G23" s="119"/>
      <c r="H23" s="318">
        <f>'Custos Fixos II'!H35</f>
        <v>0</v>
      </c>
      <c r="I23" s="251">
        <f>+'Custos Fixos'!I31</f>
        <v>0</v>
      </c>
      <c r="J23" s="252">
        <f>+'Custos Fixos'!J31</f>
        <v>0</v>
      </c>
      <c r="K23" s="319">
        <f t="shared" si="1"/>
        <v>0</v>
      </c>
      <c r="L23" s="119"/>
    </row>
    <row r="24" spans="3:12" ht="13.35" customHeight="1" x14ac:dyDescent="0.2">
      <c r="D24" s="317" t="s">
        <v>101</v>
      </c>
      <c r="E24" s="119"/>
      <c r="F24" s="119"/>
      <c r="G24" s="119"/>
      <c r="H24" s="318">
        <f>'Custos Fixos II'!H36</f>
        <v>0</v>
      </c>
      <c r="I24" s="251">
        <f>+'Custos Fixos'!I43</f>
        <v>0</v>
      </c>
      <c r="J24" s="252">
        <f>IF('Dados Operacionais'!$K$14=0,0,(H24/'Dados Operacionais'!$K$14))</f>
        <v>0</v>
      </c>
      <c r="K24" s="319">
        <f t="shared" si="1"/>
        <v>0</v>
      </c>
    </row>
    <row r="25" spans="3:12" ht="13.35" customHeight="1" x14ac:dyDescent="0.2">
      <c r="D25" s="320" t="s">
        <v>102</v>
      </c>
      <c r="E25" s="222"/>
      <c r="F25" s="222"/>
      <c r="G25" s="222"/>
      <c r="H25" s="321">
        <f>'Custos Fixos II'!H37</f>
        <v>0</v>
      </c>
      <c r="I25" s="322">
        <f>+'Custos Fixos'!I49</f>
        <v>0</v>
      </c>
      <c r="J25" s="323">
        <f>+'Custos Fixos'!J49</f>
        <v>0</v>
      </c>
      <c r="K25" s="324">
        <f t="shared" si="1"/>
        <v>0</v>
      </c>
    </row>
    <row r="26" spans="3:12" ht="13.35" customHeight="1" x14ac:dyDescent="0.2">
      <c r="D26" s="85"/>
      <c r="G26" s="81" t="s">
        <v>115</v>
      </c>
      <c r="H26" s="95">
        <f>SUM(H21:H25)</f>
        <v>0</v>
      </c>
      <c r="I26" s="83">
        <f>SUM(I21:I25)</f>
        <v>0</v>
      </c>
      <c r="J26" s="79">
        <f>SUM(J21:J25)</f>
        <v>0</v>
      </c>
      <c r="K26" s="96">
        <f t="shared" si="1"/>
        <v>0</v>
      </c>
    </row>
    <row r="27" spans="3:12" ht="13.35" customHeight="1" x14ac:dyDescent="0.2">
      <c r="D27" s="85"/>
      <c r="I27" s="55"/>
      <c r="J27" s="54"/>
      <c r="K27" s="94"/>
    </row>
    <row r="28" spans="3:12" ht="13.35" customHeight="1" x14ac:dyDescent="0.2">
      <c r="D28" s="85"/>
      <c r="I28" s="55"/>
      <c r="J28" s="54"/>
      <c r="K28" s="94"/>
    </row>
    <row r="29" spans="3:12" ht="13.35" customHeight="1" x14ac:dyDescent="0.2">
      <c r="D29" s="85"/>
      <c r="I29" s="55"/>
      <c r="J29" s="54"/>
      <c r="K29" s="94"/>
    </row>
    <row r="30" spans="3:12" ht="13.35" customHeight="1" x14ac:dyDescent="0.2">
      <c r="C30" s="91" t="s">
        <v>201</v>
      </c>
      <c r="D30" s="85"/>
      <c r="I30" s="55"/>
      <c r="J30" s="54"/>
      <c r="K30" s="94"/>
    </row>
    <row r="31" spans="3:12" ht="13.35" customHeight="1" x14ac:dyDescent="0.2">
      <c r="D31" s="97" t="s">
        <v>103</v>
      </c>
      <c r="H31" s="71">
        <f>'Custos Fixos II'!H38</f>
        <v>0</v>
      </c>
      <c r="I31" s="55">
        <f>+'Custos Fixos'!I59</f>
        <v>0</v>
      </c>
      <c r="J31" s="54">
        <f>+'Custos Fixos'!J59</f>
        <v>0</v>
      </c>
      <c r="K31" s="94">
        <f>IF(H31=0,0,H31/$H$58)</f>
        <v>0</v>
      </c>
    </row>
    <row r="32" spans="3:12" ht="13.35" customHeight="1" x14ac:dyDescent="0.2">
      <c r="D32" s="97" t="s">
        <v>295</v>
      </c>
      <c r="H32" s="71">
        <f>+'Custos Fixos II'!H39</f>
        <v>0</v>
      </c>
      <c r="I32" s="55">
        <f>+'Custos Fixos II'!I39</f>
        <v>0</v>
      </c>
      <c r="J32" s="54">
        <f>+'Custos Fixos II'!J39</f>
        <v>0</v>
      </c>
      <c r="K32" s="94">
        <f>IF(H32=0,0,H32/$H$58)</f>
        <v>0</v>
      </c>
    </row>
    <row r="33" spans="3:11" ht="13.35" customHeight="1" x14ac:dyDescent="0.2">
      <c r="D33" s="97" t="s">
        <v>297</v>
      </c>
      <c r="H33" s="71">
        <f>+'Custos Fixos II'!H40</f>
        <v>0</v>
      </c>
      <c r="I33" s="55">
        <f>+'Custos Fixos II'!I40</f>
        <v>0</v>
      </c>
      <c r="J33" s="516">
        <f>+'Custos Fixos II'!J40</f>
        <v>0</v>
      </c>
      <c r="K33" s="94">
        <f>IF(H33=0,0,H33/$H$58)</f>
        <v>0</v>
      </c>
    </row>
    <row r="34" spans="3:11" ht="13.35" customHeight="1" x14ac:dyDescent="0.2">
      <c r="D34" s="97" t="s">
        <v>298</v>
      </c>
      <c r="E34" s="222"/>
      <c r="F34" s="222"/>
      <c r="G34" s="222"/>
      <c r="H34" s="321">
        <f>'Custos Fixos II'!H41</f>
        <v>0</v>
      </c>
      <c r="I34" s="322">
        <f>IF('Dados Operacionais'!$K$50=0,0,(H34/'Dados Operacionais'!$K$50))</f>
        <v>0</v>
      </c>
      <c r="J34" s="323">
        <f>IF('Dados Operacionais'!$K$14=0,0,(H34/'Dados Operacionais'!$K$14))</f>
        <v>0</v>
      </c>
      <c r="K34" s="324">
        <f>IF(H34=0,0,H34/$H$58)</f>
        <v>0</v>
      </c>
    </row>
    <row r="35" spans="3:11" ht="13.35" customHeight="1" x14ac:dyDescent="0.2">
      <c r="D35" s="504"/>
      <c r="G35" s="81" t="s">
        <v>115</v>
      </c>
      <c r="H35" s="95">
        <f>SUM(H31:H34)</f>
        <v>0</v>
      </c>
      <c r="I35" s="83">
        <f>SUM(I31:I34)</f>
        <v>0</v>
      </c>
      <c r="J35" s="79">
        <f>SUM(J31:J34)</f>
        <v>0</v>
      </c>
      <c r="K35" s="96">
        <f>IF(H35=0,0,H35/$H$58)</f>
        <v>0</v>
      </c>
    </row>
    <row r="36" spans="3:11" ht="13.35" customHeight="1" x14ac:dyDescent="0.2">
      <c r="D36" s="85"/>
      <c r="G36" s="81"/>
      <c r="I36" s="55"/>
      <c r="J36" s="54"/>
      <c r="K36" s="94"/>
    </row>
    <row r="37" spans="3:11" ht="13.35" customHeight="1" x14ac:dyDescent="0.2">
      <c r="D37" s="85"/>
      <c r="I37" s="55"/>
      <c r="J37" s="54"/>
      <c r="K37" s="94"/>
    </row>
    <row r="38" spans="3:11" ht="13.35" customHeight="1" x14ac:dyDescent="0.2">
      <c r="D38" s="85"/>
      <c r="I38" s="55"/>
      <c r="J38" s="54"/>
      <c r="K38" s="94"/>
    </row>
    <row r="39" spans="3:11" ht="13.35" customHeight="1" x14ac:dyDescent="0.2">
      <c r="C39" s="91" t="s">
        <v>116</v>
      </c>
      <c r="D39" s="85"/>
      <c r="I39" s="55"/>
      <c r="J39" s="54"/>
      <c r="K39" s="94"/>
    </row>
    <row r="40" spans="3:11" ht="13.35" customHeight="1" x14ac:dyDescent="0.2">
      <c r="D40" s="97" t="s">
        <v>104</v>
      </c>
      <c r="H40" s="71">
        <f>'Custos Fixos II'!H42</f>
        <v>0</v>
      </c>
      <c r="I40" s="55">
        <f>IF('Dados Operacionais'!$K$50=0,0,(H40/'Dados Operacionais'!$K$50))</f>
        <v>0</v>
      </c>
      <c r="J40" s="54">
        <f>IF('Dados Operacionais'!$K$14=0,0,(H40/'Dados Operacionais'!$K$14))</f>
        <v>0</v>
      </c>
      <c r="K40" s="94">
        <f>IF(H40=0,0,H40/$H$58)</f>
        <v>0</v>
      </c>
    </row>
    <row r="41" spans="3:11" ht="13.35" customHeight="1" x14ac:dyDescent="0.2">
      <c r="D41" s="320" t="s">
        <v>105</v>
      </c>
      <c r="E41" s="222"/>
      <c r="F41" s="222"/>
      <c r="G41" s="222"/>
      <c r="H41" s="321">
        <f>'Custos Fixos II'!H43</f>
        <v>0</v>
      </c>
      <c r="I41" s="322">
        <f>+'Custos Fixos II'!I5</f>
        <v>0</v>
      </c>
      <c r="J41" s="323">
        <f>+'Custos Fixos II'!J5</f>
        <v>0</v>
      </c>
      <c r="K41" s="324">
        <f>IF(H41=0,0,H41/$H$58)</f>
        <v>0</v>
      </c>
    </row>
    <row r="42" spans="3:11" ht="13.35" customHeight="1" x14ac:dyDescent="0.2">
      <c r="D42" s="85"/>
      <c r="G42" s="81" t="s">
        <v>115</v>
      </c>
      <c r="H42" s="95">
        <f>SUM(H40:H41)</f>
        <v>0</v>
      </c>
      <c r="I42" s="83">
        <f>SUM(I40:I41)</f>
        <v>0</v>
      </c>
      <c r="J42" s="79">
        <f>SUM(J40:J41)</f>
        <v>0</v>
      </c>
      <c r="K42" s="96">
        <f>IF(H42=0,0,H42/$H$58)</f>
        <v>0</v>
      </c>
    </row>
    <row r="43" spans="3:11" ht="13.35" customHeight="1" x14ac:dyDescent="0.2">
      <c r="D43" s="85"/>
      <c r="I43" s="55"/>
      <c r="J43" s="54"/>
      <c r="K43" s="94"/>
    </row>
    <row r="44" spans="3:11" ht="13.35" customHeight="1" x14ac:dyDescent="0.2">
      <c r="D44" s="85"/>
      <c r="I44" s="55"/>
      <c r="J44" s="54"/>
      <c r="K44" s="94"/>
    </row>
    <row r="45" spans="3:11" ht="13.35" customHeight="1" x14ac:dyDescent="0.2">
      <c r="D45" s="85"/>
      <c r="I45" s="55"/>
      <c r="J45" s="54"/>
      <c r="K45" s="94"/>
    </row>
    <row r="46" spans="3:11" ht="13.35" customHeight="1" x14ac:dyDescent="0.2">
      <c r="C46" s="91" t="s">
        <v>117</v>
      </c>
      <c r="D46" s="85"/>
      <c r="I46" s="55"/>
      <c r="J46" s="54"/>
      <c r="K46" s="94"/>
    </row>
    <row r="47" spans="3:11" ht="13.35" customHeight="1" x14ac:dyDescent="0.2">
      <c r="D47" s="97" t="s">
        <v>106</v>
      </c>
      <c r="H47" s="71" t="e">
        <f>'Custos Fixos II'!H44</f>
        <v>#VALUE!</v>
      </c>
      <c r="I47" s="55">
        <f>IF('Dados Operacionais'!$K$50=0,0,(H47/'Dados Operacionais'!$K$50))</f>
        <v>0</v>
      </c>
      <c r="J47" s="54">
        <f>IF('Dados Operacionais'!$K$14=0,0,(H47/'Dados Operacionais'!$K$14))</f>
        <v>0</v>
      </c>
      <c r="K47" s="94" t="e">
        <f>IF(H47=0,0,H47/$H$58)</f>
        <v>#VALUE!</v>
      </c>
    </row>
    <row r="48" spans="3:11" ht="13.35" customHeight="1" x14ac:dyDescent="0.2">
      <c r="D48" s="97" t="s">
        <v>107</v>
      </c>
      <c r="H48" s="71">
        <f>'Custos Fixos II'!H45</f>
        <v>0</v>
      </c>
      <c r="I48" s="55">
        <f>+'Custos Fixos II'!I14</f>
        <v>0</v>
      </c>
      <c r="J48" s="54">
        <f>+'Custos Fixos II'!J14</f>
        <v>0</v>
      </c>
      <c r="K48" s="94">
        <f>IF(H48=0,0,H48/$H$58)</f>
        <v>0</v>
      </c>
    </row>
    <row r="49" spans="3:14" ht="13.35" customHeight="1" x14ac:dyDescent="0.2">
      <c r="D49" s="320" t="s">
        <v>108</v>
      </c>
      <c r="E49" s="222"/>
      <c r="F49" s="222"/>
      <c r="G49" s="222"/>
      <c r="H49" s="321">
        <f>'Custos Fixos II'!H46</f>
        <v>0</v>
      </c>
      <c r="I49" s="322">
        <f>+'Custos Fixos II'!I23</f>
        <v>0</v>
      </c>
      <c r="J49" s="323">
        <f>+'Custos Fixos II'!J23</f>
        <v>0</v>
      </c>
      <c r="K49" s="324">
        <f>IF(H49=0,0,H49/$H$58)</f>
        <v>0</v>
      </c>
    </row>
    <row r="50" spans="3:14" ht="13.35" customHeight="1" x14ac:dyDescent="0.2">
      <c r="D50" s="92"/>
      <c r="G50" s="81" t="s">
        <v>115</v>
      </c>
      <c r="H50" s="95" t="e">
        <f>SUM(H47:H49)</f>
        <v>#VALUE!</v>
      </c>
      <c r="I50" s="83">
        <f>SUM(I47:I49)</f>
        <v>0</v>
      </c>
      <c r="J50" s="79">
        <f>SUM(J47:J49)</f>
        <v>0</v>
      </c>
      <c r="K50" s="96" t="e">
        <f>IF(H50=0,0,H50/$H$58)</f>
        <v>#VALUE!</v>
      </c>
    </row>
    <row r="51" spans="3:14" ht="13.35" customHeight="1" x14ac:dyDescent="0.2">
      <c r="D51" s="92"/>
      <c r="G51" s="81"/>
      <c r="H51" s="95"/>
      <c r="I51" s="83"/>
      <c r="J51" s="79"/>
      <c r="K51" s="96"/>
    </row>
    <row r="52" spans="3:14" ht="13.35" customHeight="1" x14ac:dyDescent="0.2">
      <c r="D52" s="92"/>
      <c r="G52" s="81"/>
      <c r="H52" s="95"/>
      <c r="I52" s="83"/>
      <c r="J52" s="79"/>
      <c r="K52" s="96"/>
    </row>
    <row r="53" spans="3:14" ht="13.35" customHeight="1" x14ac:dyDescent="0.2">
      <c r="C53" s="91" t="s">
        <v>247</v>
      </c>
      <c r="D53" s="92"/>
      <c r="G53" s="81"/>
      <c r="H53" s="95"/>
      <c r="I53" s="83"/>
      <c r="J53" s="79"/>
      <c r="K53" s="96"/>
    </row>
    <row r="54" spans="3:14" ht="13.35" customHeight="1" x14ac:dyDescent="0.2">
      <c r="D54" s="97" t="s">
        <v>246</v>
      </c>
      <c r="G54" s="81"/>
      <c r="H54" s="95" t="e">
        <f>+'Custos Fixos II'!H59</f>
        <v>#VALUE!</v>
      </c>
      <c r="I54" s="83" t="e">
        <f>+'Custos Fixos II'!I59</f>
        <v>#VALUE!</v>
      </c>
      <c r="J54" s="79" t="e">
        <f>+'Custos Fixos II'!J59</f>
        <v>#VALUE!</v>
      </c>
      <c r="K54" s="96" t="e">
        <f>IF(H54=0,0,H54/$H$58)</f>
        <v>#VALUE!</v>
      </c>
      <c r="N54" s="401"/>
    </row>
    <row r="55" spans="3:14" ht="13.35" customHeight="1" x14ac:dyDescent="0.2">
      <c r="G55" s="81"/>
      <c r="H55" s="95"/>
      <c r="I55" s="83"/>
      <c r="J55" s="79"/>
      <c r="K55" s="96"/>
    </row>
    <row r="56" spans="3:14" ht="13.35" customHeight="1" x14ac:dyDescent="0.2">
      <c r="K56" s="94"/>
    </row>
    <row r="57" spans="3:14" ht="13.35" customHeight="1" x14ac:dyDescent="0.2">
      <c r="C57" s="222"/>
      <c r="D57" s="222"/>
      <c r="E57" s="222"/>
      <c r="F57" s="222"/>
      <c r="G57" s="222"/>
      <c r="H57" s="326"/>
      <c r="I57" s="222"/>
      <c r="J57" s="222"/>
      <c r="K57" s="324"/>
    </row>
    <row r="58" spans="3:14" ht="13.35" customHeight="1" x14ac:dyDescent="0.2">
      <c r="C58" s="91" t="s">
        <v>118</v>
      </c>
      <c r="H58" s="95" t="e">
        <f>SUM(H16,H26,H35,H42,H50,H54)</f>
        <v>#VALUE!</v>
      </c>
      <c r="I58" s="402" t="e">
        <f>SUM(I16,I26,I35,I42,I50,I54)</f>
        <v>#VALUE!</v>
      </c>
      <c r="J58" s="95">
        <f>SUM(J16,J26,J35,J42,J50,J50)</f>
        <v>0</v>
      </c>
      <c r="K58" s="96" t="e">
        <f>IF(H58=0,0,H58/$H$58)</f>
        <v>#VALUE!</v>
      </c>
      <c r="N58" s="401"/>
    </row>
    <row r="59" spans="3:14" ht="13.35" customHeight="1" x14ac:dyDescent="0.2">
      <c r="K59" s="403"/>
    </row>
    <row r="60" spans="3:14" ht="13.35" customHeight="1" x14ac:dyDescent="0.2">
      <c r="I60" s="401"/>
      <c r="K60" s="95"/>
    </row>
    <row r="61" spans="3:14" ht="13.35" customHeight="1" x14ac:dyDescent="0.2">
      <c r="I61" s="401"/>
      <c r="K61" s="144" t="s">
        <v>148</v>
      </c>
    </row>
    <row r="62" spans="3:14" ht="13.35" customHeight="1" x14ac:dyDescent="0.2">
      <c r="I62" s="401"/>
    </row>
    <row r="63" spans="3:14" ht="13.35" customHeight="1" x14ac:dyDescent="0.2">
      <c r="I63" s="401"/>
    </row>
    <row r="64" spans="3:14" ht="13.35" customHeight="1" x14ac:dyDescent="0.2">
      <c r="I64" s="401"/>
    </row>
  </sheetData>
  <mergeCells count="1">
    <mergeCell ref="C6:G6"/>
  </mergeCells>
  <phoneticPr fontId="0" type="noConversion"/>
  <hyperlinks>
    <hyperlink ref="K61" location="'CP-5'!A1" tooltip="Clique aqui para retornar ao início" display="Volta"/>
  </hyperlinks>
  <printOptions horizontalCentered="1" verticalCentered="1"/>
  <pageMargins left="0.39370078740157483" right="0" top="0.78740157480314965" bottom="0.78740157480314965" header="0.59055118110236227" footer="0.51181102362204722"/>
  <pageSetup paperSize="9"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pageSetUpPr fitToPage="1"/>
  </sheetPr>
  <dimension ref="A1:K67"/>
  <sheetViews>
    <sheetView showGridLines="0" zoomScale="90" workbookViewId="0">
      <selection activeCell="B2" sqref="B2"/>
    </sheetView>
  </sheetViews>
  <sheetFormatPr defaultColWidth="9.140625" defaultRowHeight="13.35" customHeight="1" x14ac:dyDescent="0.2"/>
  <cols>
    <col min="1" max="1" width="0.85546875" style="3" customWidth="1"/>
    <col min="2" max="2" width="1.85546875" style="3" customWidth="1"/>
    <col min="3" max="3" width="4" style="3" customWidth="1"/>
    <col min="4" max="4" width="11.85546875" style="3" customWidth="1"/>
    <col min="5" max="5" width="13" style="3" customWidth="1"/>
    <col min="6" max="6" width="18.140625" style="3" customWidth="1"/>
    <col min="7" max="7" width="16.5703125" style="3" customWidth="1"/>
    <col min="8" max="8" width="15.140625" style="46" customWidth="1"/>
    <col min="9" max="9" width="10.42578125" style="3" bestFit="1" customWidth="1"/>
    <col min="10" max="10" width="11" style="3" bestFit="1" customWidth="1"/>
    <col min="11" max="11" width="8.5703125" style="3" bestFit="1" customWidth="1"/>
    <col min="12" max="16384" width="9.140625" style="3"/>
  </cols>
  <sheetData>
    <row r="1" spans="1:11" ht="18" customHeight="1" x14ac:dyDescent="0.2"/>
    <row r="2" spans="1:11" ht="18" customHeight="1" x14ac:dyDescent="0.25">
      <c r="A2" s="48" t="s">
        <v>119</v>
      </c>
      <c r="B2" s="4"/>
      <c r="C2" s="4"/>
      <c r="D2" s="4"/>
      <c r="E2" s="4"/>
      <c r="F2" s="4"/>
      <c r="G2" s="4"/>
      <c r="H2" s="47"/>
      <c r="I2" s="4"/>
      <c r="J2" s="4"/>
      <c r="K2" s="4"/>
    </row>
    <row r="4" spans="1:11" ht="15.75" x14ac:dyDescent="0.25">
      <c r="C4" s="98" t="s">
        <v>147</v>
      </c>
      <c r="D4" s="4"/>
      <c r="E4" s="4"/>
      <c r="F4" s="4"/>
      <c r="G4" s="4"/>
      <c r="H4" s="47"/>
      <c r="I4" s="4"/>
      <c r="J4" s="4"/>
      <c r="K4" s="4"/>
    </row>
    <row r="5" spans="1:11" ht="13.35" customHeight="1" x14ac:dyDescent="0.25">
      <c r="C5" s="99"/>
    </row>
    <row r="6" spans="1:11" ht="15.75" x14ac:dyDescent="0.25">
      <c r="C6" s="98" t="s">
        <v>120</v>
      </c>
      <c r="D6" s="4"/>
      <c r="E6" s="4"/>
      <c r="F6" s="4"/>
      <c r="G6" s="4"/>
      <c r="H6" s="100">
        <f>'Dados Gerais'!J156</f>
        <v>0</v>
      </c>
      <c r="I6" s="4" t="s">
        <v>121</v>
      </c>
      <c r="J6" s="4"/>
      <c r="K6" s="4"/>
    </row>
    <row r="9" spans="1:11" ht="18" customHeight="1" x14ac:dyDescent="0.2">
      <c r="C9" s="559" t="s">
        <v>112</v>
      </c>
      <c r="D9" s="560"/>
      <c r="E9" s="560"/>
      <c r="F9" s="560"/>
      <c r="G9" s="560"/>
      <c r="H9" s="301" t="s">
        <v>65</v>
      </c>
      <c r="I9" s="301" t="s">
        <v>66</v>
      </c>
      <c r="J9" s="301" t="s">
        <v>67</v>
      </c>
      <c r="K9" s="302" t="s">
        <v>113</v>
      </c>
    </row>
    <row r="10" spans="1:11" ht="13.35" customHeight="1" x14ac:dyDescent="0.2">
      <c r="C10" s="86"/>
      <c r="D10" s="86"/>
      <c r="E10" s="86"/>
      <c r="F10" s="86"/>
      <c r="G10" s="86"/>
      <c r="H10" s="89"/>
      <c r="I10" s="90"/>
      <c r="J10" s="90"/>
      <c r="K10" s="90"/>
    </row>
    <row r="11" spans="1:11" ht="13.35" customHeight="1" x14ac:dyDescent="0.2">
      <c r="C11" s="86"/>
      <c r="D11" s="86"/>
      <c r="E11" s="86"/>
      <c r="F11" s="86"/>
      <c r="G11" s="86"/>
      <c r="H11" s="89"/>
      <c r="I11" s="90"/>
      <c r="J11" s="90"/>
      <c r="K11" s="90"/>
    </row>
    <row r="12" spans="1:11" ht="13.35" customHeight="1" x14ac:dyDescent="0.2">
      <c r="C12" s="91" t="s">
        <v>114</v>
      </c>
      <c r="D12" s="86"/>
      <c r="E12" s="86"/>
      <c r="F12" s="86"/>
      <c r="G12" s="86"/>
      <c r="H12" s="89"/>
      <c r="I12" s="90"/>
      <c r="J12" s="90"/>
      <c r="K12" s="90"/>
    </row>
    <row r="13" spans="1:11" ht="12.75" x14ac:dyDescent="0.2">
      <c r="D13" s="93" t="s">
        <v>77</v>
      </c>
      <c r="E13" s="93"/>
      <c r="H13" s="71">
        <f>'Custo Total Sem Tributos'!H10/(1-$H$6)</f>
        <v>0</v>
      </c>
      <c r="I13" s="55">
        <f>IF('Dados Operacionais'!$K$50=0,0,(H13/'Dados Operacionais'!$K$50))</f>
        <v>0</v>
      </c>
      <c r="J13" s="54">
        <f>IF('Dados Operacionais'!$K$14=0,0,(H13/'Dados Operacionais'!$K$14))</f>
        <v>0</v>
      </c>
      <c r="K13" s="94">
        <f t="shared" ref="K13:K19" si="0">IF(H13=0,0,H13/$H$61)</f>
        <v>0</v>
      </c>
    </row>
    <row r="14" spans="1:11" ht="12.75" x14ac:dyDescent="0.2">
      <c r="D14" s="483" t="s">
        <v>233</v>
      </c>
      <c r="E14" s="93"/>
      <c r="H14" s="71">
        <f>'Custo Total Sem Tributos'!H11/(1-$H$6)</f>
        <v>0</v>
      </c>
      <c r="I14" s="55">
        <f>IF('Dados Operacionais'!$K$50=0,0,(H14/'Dados Operacionais'!$K$50))</f>
        <v>0</v>
      </c>
      <c r="J14" s="471">
        <f>IF('Dados Operacionais'!$K$14=0,0,(H14/'Dados Operacionais'!$K$14))</f>
        <v>0</v>
      </c>
      <c r="K14" s="94">
        <f t="shared" si="0"/>
        <v>0</v>
      </c>
    </row>
    <row r="15" spans="1:11" ht="12.75" x14ac:dyDescent="0.2">
      <c r="D15" s="93" t="s">
        <v>78</v>
      </c>
      <c r="E15" s="93"/>
      <c r="H15" s="71">
        <f>'Custo Total Sem Tributos'!H12/(1-$H$6)</f>
        <v>0</v>
      </c>
      <c r="I15" s="55">
        <f>IF('Dados Operacionais'!$K$50=0,0,(H15/'Dados Operacionais'!$K$50))</f>
        <v>0</v>
      </c>
      <c r="J15" s="54">
        <f>IF('Dados Operacionais'!$K$14=0,0,(H15/'Dados Operacionais'!$K$14))</f>
        <v>0</v>
      </c>
      <c r="K15" s="94">
        <f t="shared" si="0"/>
        <v>0</v>
      </c>
    </row>
    <row r="16" spans="1:11" ht="12.75" x14ac:dyDescent="0.2">
      <c r="D16" s="93" t="s">
        <v>79</v>
      </c>
      <c r="E16" s="93"/>
      <c r="F16" s="93"/>
      <c r="H16" s="71">
        <f>'Custo Total Sem Tributos'!H13/(1-$H$6)</f>
        <v>0</v>
      </c>
      <c r="I16" s="55">
        <f>IF('Dados Operacionais'!$K$50=0,0,(H16/'Dados Operacionais'!$K$50))</f>
        <v>0</v>
      </c>
      <c r="J16" s="54">
        <f>IF('Dados Operacionais'!$K$14=0,0,(H16/'Dados Operacionais'!$K$14))</f>
        <v>0</v>
      </c>
      <c r="K16" s="94">
        <f t="shared" si="0"/>
        <v>0</v>
      </c>
    </row>
    <row r="17" spans="3:11" ht="12.75" x14ac:dyDescent="0.2">
      <c r="D17" s="482" t="s">
        <v>80</v>
      </c>
      <c r="E17" s="482"/>
      <c r="F17" s="119"/>
      <c r="G17" s="119"/>
      <c r="H17" s="318">
        <f>'Custo Total Sem Tributos'!H14/(1-$H$6)</f>
        <v>0</v>
      </c>
      <c r="I17" s="470">
        <f>IF('Dados Operacionais'!$K$50=0,0,(H17/'Dados Operacionais'!$K$50))</f>
        <v>0</v>
      </c>
      <c r="J17" s="469">
        <f>IF('Dados Operacionais'!$K$14=0,0,(H17/'Dados Operacionais'!$K$14))</f>
        <v>0</v>
      </c>
      <c r="K17" s="319">
        <f t="shared" si="0"/>
        <v>0</v>
      </c>
    </row>
    <row r="18" spans="3:11" ht="12.75" x14ac:dyDescent="0.2">
      <c r="D18" s="325" t="s">
        <v>242</v>
      </c>
      <c r="E18" s="325"/>
      <c r="F18" s="222"/>
      <c r="G18" s="222"/>
      <c r="H18" s="318">
        <f>+'Custo Total Sem Tributos'!H15/(1-H6)</f>
        <v>0</v>
      </c>
      <c r="I18" s="470">
        <f>IF('Dados Operacionais'!$K$50=0,0,(H18/'Dados Operacionais'!$K$50))</f>
        <v>0</v>
      </c>
      <c r="J18" s="469">
        <f>IF('Dados Operacionais'!$K$14=0,0,(H18/'Dados Operacionais'!$K$14))</f>
        <v>0</v>
      </c>
      <c r="K18" s="319">
        <f t="shared" si="0"/>
        <v>0</v>
      </c>
    </row>
    <row r="19" spans="3:11" ht="13.35" customHeight="1" x14ac:dyDescent="0.2">
      <c r="D19" s="85"/>
      <c r="G19" s="81" t="s">
        <v>115</v>
      </c>
      <c r="H19" s="487">
        <f>SUM(H13:H18)</f>
        <v>0</v>
      </c>
      <c r="I19" s="488">
        <f>SUM(I13:I18)</f>
        <v>0</v>
      </c>
      <c r="J19" s="489">
        <f>SUM(J13:J18)</f>
        <v>0</v>
      </c>
      <c r="K19" s="490">
        <f t="shared" si="0"/>
        <v>0</v>
      </c>
    </row>
    <row r="20" spans="3:11" ht="13.35" customHeight="1" x14ac:dyDescent="0.2">
      <c r="D20" s="85"/>
      <c r="G20" s="81"/>
      <c r="I20" s="55"/>
      <c r="J20" s="54"/>
      <c r="K20" s="94"/>
    </row>
    <row r="21" spans="3:11" ht="13.35" customHeight="1" x14ac:dyDescent="0.2">
      <c r="D21" s="85"/>
      <c r="G21" s="81"/>
      <c r="I21" s="55"/>
      <c r="J21" s="54"/>
      <c r="K21" s="94"/>
    </row>
    <row r="22" spans="3:11" ht="13.35" customHeight="1" x14ac:dyDescent="0.2">
      <c r="D22" s="85"/>
      <c r="I22" s="55"/>
      <c r="J22" s="54"/>
      <c r="K22" s="94"/>
    </row>
    <row r="23" spans="3:11" ht="13.35" customHeight="1" x14ac:dyDescent="0.2">
      <c r="C23" s="91" t="s">
        <v>200</v>
      </c>
      <c r="D23" s="85"/>
      <c r="I23" s="55"/>
      <c r="J23" s="54"/>
      <c r="K23" s="94"/>
    </row>
    <row r="24" spans="3:11" ht="13.35" customHeight="1" x14ac:dyDescent="0.2">
      <c r="C24" s="91"/>
      <c r="D24" s="317" t="s">
        <v>227</v>
      </c>
      <c r="E24" s="119"/>
      <c r="F24" s="119"/>
      <c r="G24" s="119"/>
      <c r="H24" s="318">
        <f>'Custo Total Sem Tributos'!H21/(1-$H$6)</f>
        <v>0</v>
      </c>
      <c r="I24" s="251">
        <f>+'Custo Total Sem Tributos'!I21/(1-'Custo Total com Tributos'!H6)</f>
        <v>0</v>
      </c>
      <c r="J24" s="252">
        <f>+'Custo Total Sem Tributos'!J21/(1-'Custo Total com Tributos'!H6)</f>
        <v>0</v>
      </c>
      <c r="K24" s="319">
        <f t="shared" ref="K24:K29" si="1">IF(H24=0,0,H24/$H$61)</f>
        <v>0</v>
      </c>
    </row>
    <row r="25" spans="3:11" ht="13.35" customHeight="1" x14ac:dyDescent="0.2">
      <c r="C25" s="91"/>
      <c r="D25" s="317" t="s">
        <v>259</v>
      </c>
      <c r="E25" s="119"/>
      <c r="F25" s="119"/>
      <c r="G25" s="119"/>
      <c r="H25" s="318">
        <f>'Custo Total Sem Tributos'!H22/(1-$H$6)</f>
        <v>0</v>
      </c>
      <c r="I25" s="251">
        <f>+'Custo Total Sem Tributos'!I22/(1-H6)</f>
        <v>0</v>
      </c>
      <c r="J25" s="252">
        <f>+'Custo Total Sem Tributos'!J22/(1-'Custo Total com Tributos'!H6)</f>
        <v>0</v>
      </c>
      <c r="K25" s="319">
        <f t="shared" si="1"/>
        <v>0</v>
      </c>
    </row>
    <row r="26" spans="3:11" ht="13.35" customHeight="1" x14ac:dyDescent="0.2">
      <c r="C26" s="91"/>
      <c r="D26" s="317" t="s">
        <v>264</v>
      </c>
      <c r="E26" s="119"/>
      <c r="F26" s="119"/>
      <c r="G26" s="119"/>
      <c r="H26" s="318">
        <f>'Custo Total Sem Tributos'!H23/(1-$H$6)</f>
        <v>0</v>
      </c>
      <c r="I26" s="251">
        <f>+'Custo Total Sem Tributos'!I23/(1-'Custo Total com Tributos'!H6)</f>
        <v>0</v>
      </c>
      <c r="J26" s="252">
        <f>+'Custo Total Sem Tributos'!J23/(1-'Custo Total com Tributos'!H6)</f>
        <v>0</v>
      </c>
      <c r="K26" s="319">
        <f t="shared" si="1"/>
        <v>0</v>
      </c>
    </row>
    <row r="27" spans="3:11" ht="13.35" customHeight="1" x14ac:dyDescent="0.2">
      <c r="D27" s="317" t="s">
        <v>101</v>
      </c>
      <c r="E27" s="119"/>
      <c r="F27" s="119"/>
      <c r="G27" s="119"/>
      <c r="H27" s="318">
        <f>'Custo Total Sem Tributos'!H24/(1-$H$6)</f>
        <v>0</v>
      </c>
      <c r="I27" s="251">
        <f>IF('Dados Operacionais'!$K$50=0,0,(H27/'Dados Operacionais'!$K$50))</f>
        <v>0</v>
      </c>
      <c r="J27" s="252">
        <f>IF('Dados Operacionais'!$K$14=0,0,(H27/'Dados Operacionais'!$K$14))</f>
        <v>0</v>
      </c>
      <c r="K27" s="319">
        <f t="shared" si="1"/>
        <v>0</v>
      </c>
    </row>
    <row r="28" spans="3:11" ht="13.35" customHeight="1" x14ac:dyDescent="0.2">
      <c r="D28" s="320" t="s">
        <v>102</v>
      </c>
      <c r="E28" s="222"/>
      <c r="F28" s="222"/>
      <c r="G28" s="222"/>
      <c r="H28" s="321">
        <f>'Custo Total Sem Tributos'!H25/(1-$H$6)</f>
        <v>0</v>
      </c>
      <c r="I28" s="322">
        <f>+'Custo Total Sem Tributos'!I25/(1-'Custo Total com Tributos'!H6)</f>
        <v>0</v>
      </c>
      <c r="J28" s="323">
        <f>+'Custo Total Sem Tributos'!J25/(1-'Custo Total com Tributos'!H6)</f>
        <v>0</v>
      </c>
      <c r="K28" s="324">
        <f t="shared" si="1"/>
        <v>0</v>
      </c>
    </row>
    <row r="29" spans="3:11" ht="13.35" customHeight="1" x14ac:dyDescent="0.2">
      <c r="D29" s="85"/>
      <c r="G29" s="81" t="s">
        <v>115</v>
      </c>
      <c r="H29" s="95">
        <f>SUM(H24:H28)</f>
        <v>0</v>
      </c>
      <c r="I29" s="83">
        <f>SUM(I24:I28)</f>
        <v>0</v>
      </c>
      <c r="J29" s="79">
        <f>SUM(J24:J28)</f>
        <v>0</v>
      </c>
      <c r="K29" s="96">
        <f t="shared" si="1"/>
        <v>0</v>
      </c>
    </row>
    <row r="30" spans="3:11" ht="13.35" customHeight="1" x14ac:dyDescent="0.2">
      <c r="D30" s="85"/>
      <c r="I30" s="55"/>
      <c r="J30" s="54"/>
      <c r="K30" s="94"/>
    </row>
    <row r="31" spans="3:11" ht="13.35" customHeight="1" x14ac:dyDescent="0.2">
      <c r="D31" s="85"/>
      <c r="I31" s="55"/>
      <c r="J31" s="54"/>
      <c r="K31" s="94"/>
    </row>
    <row r="32" spans="3:11" ht="13.35" customHeight="1" x14ac:dyDescent="0.2">
      <c r="D32" s="85"/>
      <c r="I32" s="55"/>
      <c r="J32" s="54"/>
      <c r="K32" s="94"/>
    </row>
    <row r="33" spans="3:11" ht="13.35" customHeight="1" x14ac:dyDescent="0.2">
      <c r="C33" s="91" t="s">
        <v>202</v>
      </c>
      <c r="D33" s="85"/>
      <c r="I33" s="55"/>
      <c r="J33" s="54"/>
      <c r="K33" s="94"/>
    </row>
    <row r="34" spans="3:11" ht="13.35" customHeight="1" x14ac:dyDescent="0.2">
      <c r="D34" s="97" t="s">
        <v>103</v>
      </c>
      <c r="H34" s="71">
        <f>'Custo Total Sem Tributos'!H31/(1-$H$6)</f>
        <v>0</v>
      </c>
      <c r="I34" s="55">
        <f>+'Custo Total Sem Tributos'!I31/(1-'Custo Total com Tributos'!H6)</f>
        <v>0</v>
      </c>
      <c r="J34" s="54">
        <f>+'Custo Total Sem Tributos'!J31/(1-'Custo Total com Tributos'!H6)</f>
        <v>0</v>
      </c>
      <c r="K34" s="94">
        <f>IF(H34=0,0,H34/$H$61)</f>
        <v>0</v>
      </c>
    </row>
    <row r="35" spans="3:11" ht="13.35" customHeight="1" x14ac:dyDescent="0.2">
      <c r="D35" s="97" t="s">
        <v>295</v>
      </c>
      <c r="H35" s="71">
        <f>+'Custo Total Sem Tributos'!H32/(1-'Custo Total com Tributos'!H6)</f>
        <v>0</v>
      </c>
      <c r="I35" s="55">
        <f>+'Custo Total Sem Tributos'!I32/(1-'Custo Total com Tributos'!H6)</f>
        <v>0</v>
      </c>
      <c r="J35" s="54">
        <f>+'Custo Total Sem Tributos'!J32/(1-H6)</f>
        <v>0</v>
      </c>
      <c r="K35" s="94">
        <f>IF(H35=0,0,H35/$H$61)</f>
        <v>0</v>
      </c>
    </row>
    <row r="36" spans="3:11" ht="13.35" customHeight="1" x14ac:dyDescent="0.2">
      <c r="D36" s="97" t="s">
        <v>297</v>
      </c>
      <c r="H36" s="71">
        <f>+'Custo Total Sem Tributos'!H33/(1-'Custo Total com Tributos'!H7)</f>
        <v>0</v>
      </c>
      <c r="I36" s="55">
        <f>+'Custo Total Sem Tributos'!I33/(1-'Custo Total com Tributos'!H7)</f>
        <v>0</v>
      </c>
      <c r="J36" s="516">
        <f>+'Custo Total Sem Tributos'!J33/(1-H7)</f>
        <v>0</v>
      </c>
      <c r="K36" s="94">
        <f>IF(H36=0,0,H36/$H$61)</f>
        <v>0</v>
      </c>
    </row>
    <row r="37" spans="3:11" ht="13.35" customHeight="1" x14ac:dyDescent="0.2">
      <c r="D37" s="97" t="s">
        <v>298</v>
      </c>
      <c r="E37" s="222"/>
      <c r="F37" s="222"/>
      <c r="G37" s="222"/>
      <c r="H37" s="321">
        <f>'Custo Total Sem Tributos'!H34/(1-$H$6)</f>
        <v>0</v>
      </c>
      <c r="I37" s="322">
        <f>IF('Dados Operacionais'!$K$50=0,0,(H37/'Dados Operacionais'!$K$50))</f>
        <v>0</v>
      </c>
      <c r="J37" s="323">
        <f>IF('Dados Operacionais'!$K$14=0,0,(H37/'Dados Operacionais'!$K$14))</f>
        <v>0</v>
      </c>
      <c r="K37" s="324">
        <f>IF(H37=0,0,H37/$H$61)</f>
        <v>0</v>
      </c>
    </row>
    <row r="38" spans="3:11" ht="13.35" customHeight="1" x14ac:dyDescent="0.2">
      <c r="D38" s="504"/>
      <c r="G38" s="81" t="s">
        <v>115</v>
      </c>
      <c r="H38" s="95">
        <f>SUM(H34:H37)</f>
        <v>0</v>
      </c>
      <c r="I38" s="83">
        <f>SUM(I34:I37)</f>
        <v>0</v>
      </c>
      <c r="J38" s="79">
        <f>SUM(J34:J37)</f>
        <v>0</v>
      </c>
      <c r="K38" s="96">
        <f>IF(H38=0,0,H38/$H$61)</f>
        <v>0</v>
      </c>
    </row>
    <row r="39" spans="3:11" ht="13.35" customHeight="1" x14ac:dyDescent="0.2">
      <c r="D39" s="85"/>
      <c r="G39" s="81"/>
      <c r="I39" s="55"/>
      <c r="J39" s="54"/>
      <c r="K39" s="94"/>
    </row>
    <row r="40" spans="3:11" ht="13.35" customHeight="1" x14ac:dyDescent="0.2">
      <c r="D40" s="85"/>
      <c r="I40" s="55"/>
      <c r="J40" s="54"/>
      <c r="K40" s="94"/>
    </row>
    <row r="41" spans="3:11" ht="13.35" customHeight="1" x14ac:dyDescent="0.2">
      <c r="D41" s="85"/>
      <c r="I41" s="55"/>
      <c r="J41" s="54"/>
      <c r="K41" s="94"/>
    </row>
    <row r="42" spans="3:11" ht="13.35" customHeight="1" x14ac:dyDescent="0.2">
      <c r="C42" s="91" t="s">
        <v>116</v>
      </c>
      <c r="D42" s="85"/>
      <c r="I42" s="55"/>
      <c r="J42" s="54"/>
      <c r="K42" s="94"/>
    </row>
    <row r="43" spans="3:11" ht="13.35" customHeight="1" x14ac:dyDescent="0.2">
      <c r="D43" s="97" t="s">
        <v>104</v>
      </c>
      <c r="H43" s="71">
        <f>'Custo Total Sem Tributos'!H40/(1-$H$6)</f>
        <v>0</v>
      </c>
      <c r="I43" s="55">
        <f>IF('Dados Operacionais'!$K$50=0,0,(H43/'Dados Operacionais'!$K$50))</f>
        <v>0</v>
      </c>
      <c r="J43" s="54">
        <f>IF('Dados Operacionais'!$K$14=0,0,(H43/'Dados Operacionais'!$K$14))</f>
        <v>0</v>
      </c>
      <c r="K43" s="94">
        <f>IF(H43=0,0,H43/$H$61)</f>
        <v>0</v>
      </c>
    </row>
    <row r="44" spans="3:11" ht="13.35" customHeight="1" x14ac:dyDescent="0.2">
      <c r="D44" s="320" t="s">
        <v>105</v>
      </c>
      <c r="E44" s="222"/>
      <c r="F44" s="222"/>
      <c r="G44" s="222"/>
      <c r="H44" s="321">
        <f>'Custo Total Sem Tributos'!H41/(1-$H$6)</f>
        <v>0</v>
      </c>
      <c r="I44" s="322">
        <f>+'Custos Fixos II'!I5/(1-'Custo Total com Tributos'!H6)</f>
        <v>0</v>
      </c>
      <c r="J44" s="323">
        <f>+'Custo Total Sem Tributos'!J41/(1-'Custo Total com Tributos'!H6)</f>
        <v>0</v>
      </c>
      <c r="K44" s="324">
        <f>IF(H44=0,0,H44/$H$61)</f>
        <v>0</v>
      </c>
    </row>
    <row r="45" spans="3:11" ht="13.35" customHeight="1" x14ac:dyDescent="0.2">
      <c r="D45" s="85"/>
      <c r="G45" s="81" t="s">
        <v>115</v>
      </c>
      <c r="H45" s="95">
        <f>SUM(H43:H44)</f>
        <v>0</v>
      </c>
      <c r="I45" s="83">
        <f>+I43+I44</f>
        <v>0</v>
      </c>
      <c r="J45" s="79">
        <f>+J43+J44</f>
        <v>0</v>
      </c>
      <c r="K45" s="96">
        <f>IF(H45=0,0,H45/$H$61)</f>
        <v>0</v>
      </c>
    </row>
    <row r="46" spans="3:11" ht="13.35" customHeight="1" x14ac:dyDescent="0.2">
      <c r="D46" s="85"/>
      <c r="I46" s="55"/>
      <c r="J46" s="54"/>
      <c r="K46" s="94"/>
    </row>
    <row r="47" spans="3:11" ht="13.35" customHeight="1" x14ac:dyDescent="0.2">
      <c r="D47" s="85"/>
      <c r="I47" s="55"/>
      <c r="J47" s="54"/>
      <c r="K47" s="94"/>
    </row>
    <row r="48" spans="3:11" ht="13.35" customHeight="1" x14ac:dyDescent="0.2">
      <c r="D48" s="85"/>
      <c r="I48" s="55"/>
      <c r="J48" s="54"/>
      <c r="K48" s="94"/>
    </row>
    <row r="49" spans="3:11" ht="13.35" customHeight="1" x14ac:dyDescent="0.2">
      <c r="C49" s="91" t="s">
        <v>117</v>
      </c>
      <c r="D49" s="85"/>
      <c r="I49" s="55"/>
      <c r="J49" s="54"/>
      <c r="K49" s="94"/>
    </row>
    <row r="50" spans="3:11" ht="13.35" customHeight="1" x14ac:dyDescent="0.2">
      <c r="D50" s="97" t="s">
        <v>106</v>
      </c>
      <c r="H50" s="71" t="e">
        <f>'Custo Total Sem Tributos'!H47/(1-$H$6)</f>
        <v>#VALUE!</v>
      </c>
      <c r="I50" s="55">
        <f>IF('Dados Operacionais'!$K$50=0,0,(H50/'Dados Operacionais'!$K$50))</f>
        <v>0</v>
      </c>
      <c r="J50" s="54">
        <f>IF('Dados Operacionais'!$K$14=0,0,(H50/'Dados Operacionais'!$K$14))</f>
        <v>0</v>
      </c>
      <c r="K50" s="94" t="e">
        <f>IF(H50=0,0,H50/$H$61)</f>
        <v>#VALUE!</v>
      </c>
    </row>
    <row r="51" spans="3:11" ht="13.35" customHeight="1" x14ac:dyDescent="0.2">
      <c r="D51" s="97" t="s">
        <v>107</v>
      </c>
      <c r="H51" s="71">
        <f>'Custo Total Sem Tributos'!H48/(1-$H$6)</f>
        <v>0</v>
      </c>
      <c r="I51" s="55">
        <f>+'Custos Fixos II'!I14/(1-'Custo Total com Tributos'!H6)</f>
        <v>0</v>
      </c>
      <c r="J51" s="54">
        <f>+'Custo Total Sem Tributos'!J48/(1-'Custo Total com Tributos'!H6)</f>
        <v>0</v>
      </c>
      <c r="K51" s="94">
        <f>IF(H51=0,0,H51/$H$61)</f>
        <v>0</v>
      </c>
    </row>
    <row r="52" spans="3:11" ht="13.35" customHeight="1" x14ac:dyDescent="0.2">
      <c r="D52" s="320" t="s">
        <v>108</v>
      </c>
      <c r="E52" s="222"/>
      <c r="F52" s="222"/>
      <c r="G52" s="222"/>
      <c r="H52" s="321">
        <f>'Custo Total Sem Tributos'!H49/(1-$H$6)</f>
        <v>0</v>
      </c>
      <c r="I52" s="322">
        <f>+'Custos Fixos II'!I23/(1-'Custo Total com Tributos'!H6)</f>
        <v>0</v>
      </c>
      <c r="J52" s="323">
        <f>+'Custos Fixos II'!J23/(1-'Custo Total com Tributos'!H6)</f>
        <v>0</v>
      </c>
      <c r="K52" s="324">
        <f>IF(H52=0,0,H52/$H$61)</f>
        <v>0</v>
      </c>
    </row>
    <row r="53" spans="3:11" ht="13.35" customHeight="1" x14ac:dyDescent="0.2">
      <c r="G53" s="81" t="s">
        <v>115</v>
      </c>
      <c r="H53" s="95" t="e">
        <f>SUM(H50:H52)</f>
        <v>#VALUE!</v>
      </c>
      <c r="I53" s="83">
        <f>SUM(I50:I52)</f>
        <v>0</v>
      </c>
      <c r="J53" s="79">
        <f>SUM(J50:J52)</f>
        <v>0</v>
      </c>
      <c r="K53" s="96" t="e">
        <f>IF(H53=0,0,H53/$H$61)</f>
        <v>#VALUE!</v>
      </c>
    </row>
    <row r="54" spans="3:11" ht="13.35" customHeight="1" x14ac:dyDescent="0.2">
      <c r="G54" s="81"/>
      <c r="H54" s="95"/>
      <c r="I54" s="83"/>
      <c r="J54" s="79"/>
      <c r="K54" s="96"/>
    </row>
    <row r="55" spans="3:11" ht="13.35" customHeight="1" x14ac:dyDescent="0.2">
      <c r="G55" s="81"/>
      <c r="H55" s="95"/>
      <c r="I55" s="83"/>
      <c r="J55" s="79"/>
      <c r="K55" s="96"/>
    </row>
    <row r="56" spans="3:11" ht="13.35" customHeight="1" x14ac:dyDescent="0.2">
      <c r="C56" s="91" t="s">
        <v>247</v>
      </c>
      <c r="D56" s="92"/>
      <c r="G56" s="81"/>
      <c r="H56" s="95"/>
      <c r="I56" s="83"/>
      <c r="J56" s="79"/>
      <c r="K56" s="96"/>
    </row>
    <row r="57" spans="3:11" ht="13.35" customHeight="1" x14ac:dyDescent="0.2">
      <c r="D57" s="97" t="s">
        <v>246</v>
      </c>
      <c r="G57" s="81"/>
      <c r="H57" s="95" t="e">
        <f>+'Custo Total Sem Tributos'!H54/(1-'Custo Total com Tributos'!H6)</f>
        <v>#VALUE!</v>
      </c>
      <c r="I57" s="83">
        <f>IF('Dados Operacionais'!$K$50=0,0,(H57/'Dados Operacionais'!$K$50))</f>
        <v>0</v>
      </c>
      <c r="J57" s="79">
        <f>IF('Dados Operacionais'!$K$14=0,0,(H57/'Dados Operacionais'!$K$14))</f>
        <v>0</v>
      </c>
      <c r="K57" s="96" t="e">
        <f>IF(H57=0,0,H57/$H$61)</f>
        <v>#VALUE!</v>
      </c>
    </row>
    <row r="58" spans="3:11" ht="13.35" customHeight="1" x14ac:dyDescent="0.2">
      <c r="G58" s="81"/>
      <c r="H58" s="95"/>
      <c r="I58" s="83"/>
      <c r="J58" s="79"/>
      <c r="K58" s="96"/>
    </row>
    <row r="59" spans="3:11" ht="13.35" customHeight="1" x14ac:dyDescent="0.2">
      <c r="K59" s="94"/>
    </row>
    <row r="60" spans="3:11" ht="13.35" customHeight="1" x14ac:dyDescent="0.2">
      <c r="C60" s="222"/>
      <c r="D60" s="222"/>
      <c r="E60" s="222"/>
      <c r="F60" s="222"/>
      <c r="G60" s="222"/>
      <c r="H60" s="326"/>
      <c r="I60" s="222"/>
      <c r="J60" s="222"/>
      <c r="K60" s="324"/>
    </row>
    <row r="61" spans="3:11" ht="13.35" customHeight="1" x14ac:dyDescent="0.2">
      <c r="C61" s="91" t="s">
        <v>118</v>
      </c>
      <c r="H61" s="95" t="e">
        <f>SUM(H19,H29,H38,H45,H53,H57)</f>
        <v>#VALUE!</v>
      </c>
      <c r="I61" s="402">
        <f>SUM(I19,I29,I38,I45,I53,I57)</f>
        <v>0</v>
      </c>
      <c r="J61" s="95">
        <f>SUM(J19,J29,J38,J45,J53,J57)</f>
        <v>0</v>
      </c>
      <c r="K61" s="96" t="e">
        <f>IF(H61=0,0,H61/$H$61)</f>
        <v>#VALUE!</v>
      </c>
    </row>
    <row r="62" spans="3:11" ht="13.35" customHeight="1" x14ac:dyDescent="0.2">
      <c r="C62" s="101"/>
      <c r="H62" s="95"/>
      <c r="I62" s="83"/>
      <c r="J62" s="79"/>
      <c r="K62" s="96"/>
    </row>
    <row r="63" spans="3:11" ht="12.75" x14ac:dyDescent="0.2">
      <c r="C63" s="101"/>
      <c r="E63" s="102" t="s">
        <v>122</v>
      </c>
      <c r="H63" s="95" t="e">
        <f>'Custo Total Sem Tributos'!H58</f>
        <v>#VALUE!</v>
      </c>
      <c r="I63" s="83"/>
      <c r="J63" s="79"/>
      <c r="K63" s="96"/>
    </row>
    <row r="64" spans="3:11" ht="12.75" x14ac:dyDescent="0.2">
      <c r="C64" s="101"/>
      <c r="E64" s="102" t="s">
        <v>123</v>
      </c>
      <c r="H64" s="95" t="e">
        <f>+H61-H63</f>
        <v>#VALUE!</v>
      </c>
      <c r="I64" s="83"/>
      <c r="J64" s="79"/>
      <c r="K64" s="96"/>
    </row>
    <row r="65" spans="3:11" ht="12.75" x14ac:dyDescent="0.2">
      <c r="C65" s="101"/>
      <c r="E65" s="102" t="s">
        <v>124</v>
      </c>
      <c r="H65" s="95" t="e">
        <f>SUM(H63:H64)</f>
        <v>#VALUE!</v>
      </c>
      <c r="I65" s="83"/>
      <c r="J65" s="79"/>
      <c r="K65" s="96"/>
    </row>
    <row r="66" spans="3:11" ht="13.35" customHeight="1" x14ac:dyDescent="0.2">
      <c r="H66" s="71"/>
      <c r="K66" s="71"/>
    </row>
    <row r="67" spans="3:11" ht="13.35" customHeight="1" x14ac:dyDescent="0.2">
      <c r="K67" s="144"/>
    </row>
  </sheetData>
  <mergeCells count="1">
    <mergeCell ref="C9:G9"/>
  </mergeCells>
  <phoneticPr fontId="0" type="noConversion"/>
  <printOptions horizontalCentered="1" verticalCentered="1"/>
  <pageMargins left="0.59055118110236227" right="0.39370078740157483" top="0.78740157480314965" bottom="0.47244094488188981" header="0.59055118110236227" footer="0.23622047244094491"/>
  <pageSetup paperSize="9" scale="85" orientation="portrait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pageSetUpPr fitToPage="1"/>
  </sheetPr>
  <dimension ref="A1:N61"/>
  <sheetViews>
    <sheetView showGridLines="0" zoomScale="76" workbookViewId="0">
      <selection activeCell="H13" sqref="H13"/>
    </sheetView>
  </sheetViews>
  <sheetFormatPr defaultColWidth="9.140625" defaultRowHeight="13.35" customHeight="1" x14ac:dyDescent="0.2"/>
  <cols>
    <col min="1" max="1" width="0.85546875" style="3" customWidth="1"/>
    <col min="2" max="2" width="24.28515625" style="3" customWidth="1"/>
    <col min="3" max="3" width="19.140625" style="3" customWidth="1"/>
    <col min="4" max="4" width="46.28515625" style="46" customWidth="1"/>
    <col min="5" max="5" width="19.140625" style="46" customWidth="1"/>
    <col min="6" max="7" width="19.140625" style="3" customWidth="1"/>
    <col min="8" max="8" width="24" style="3" customWidth="1"/>
    <col min="9" max="9" width="13.5703125" style="3" customWidth="1"/>
    <col min="10" max="10" width="22.42578125" style="3" customWidth="1"/>
    <col min="11" max="12" width="9.140625" style="3" customWidth="1"/>
    <col min="13" max="13" width="18.140625" style="3" customWidth="1"/>
    <col min="14" max="16384" width="9.140625" style="3"/>
  </cols>
  <sheetData>
    <row r="1" spans="1:10" ht="15.75" customHeight="1" x14ac:dyDescent="0.25">
      <c r="B1" s="542" t="s">
        <v>306</v>
      </c>
      <c r="C1" s="542"/>
      <c r="D1" s="542"/>
      <c r="E1" s="542"/>
      <c r="F1" s="542"/>
      <c r="G1" s="542"/>
      <c r="H1" s="542"/>
      <c r="I1" s="519"/>
      <c r="J1" s="519"/>
    </row>
    <row r="2" spans="1:10" ht="17.25" customHeight="1" x14ac:dyDescent="0.25">
      <c r="B2" s="542" t="s">
        <v>311</v>
      </c>
      <c r="C2" s="542"/>
      <c r="D2" s="542"/>
      <c r="E2" s="542"/>
      <c r="F2" s="542"/>
      <c r="G2" s="542"/>
      <c r="H2" s="542"/>
      <c r="I2" s="519"/>
      <c r="J2" s="519"/>
    </row>
    <row r="3" spans="1:10" ht="15.75" customHeight="1" x14ac:dyDescent="0.25">
      <c r="B3" s="550" t="s">
        <v>312</v>
      </c>
      <c r="C3" s="550"/>
      <c r="D3" s="550"/>
      <c r="E3" s="550"/>
      <c r="F3" s="550"/>
      <c r="G3" s="550"/>
      <c r="H3" s="550"/>
      <c r="I3" s="520"/>
      <c r="J3" s="520"/>
    </row>
    <row r="4" spans="1:10" ht="18" customHeight="1" x14ac:dyDescent="0.25">
      <c r="B4" s="542" t="s">
        <v>309</v>
      </c>
      <c r="C4" s="542"/>
      <c r="D4" s="542"/>
      <c r="E4" s="542"/>
      <c r="F4" s="542"/>
      <c r="G4" s="542"/>
      <c r="H4" s="542"/>
      <c r="I4" s="519"/>
      <c r="J4" s="519"/>
    </row>
    <row r="5" spans="1:10" ht="18" customHeight="1" x14ac:dyDescent="0.2">
      <c r="B5" s="551" t="s">
        <v>248</v>
      </c>
      <c r="C5" s="551"/>
      <c r="D5" s="551"/>
      <c r="E5" s="551"/>
      <c r="F5" s="551"/>
      <c r="G5" s="551"/>
      <c r="H5" s="551"/>
      <c r="I5" s="521"/>
      <c r="J5" s="521"/>
    </row>
    <row r="6" spans="1:10" ht="18" customHeight="1" x14ac:dyDescent="0.2"/>
    <row r="7" spans="1:10" ht="18" customHeight="1" x14ac:dyDescent="0.25">
      <c r="B7" s="529" t="s">
        <v>303</v>
      </c>
      <c r="C7" s="103" t="s">
        <v>304</v>
      </c>
    </row>
    <row r="8" spans="1:10" ht="18" customHeight="1" x14ac:dyDescent="0.2"/>
    <row r="9" spans="1:10" ht="18" customHeight="1" x14ac:dyDescent="0.25">
      <c r="A9" s="48" t="s">
        <v>274</v>
      </c>
      <c r="B9" s="4"/>
      <c r="C9" s="4"/>
      <c r="D9" s="47"/>
      <c r="E9" s="47"/>
      <c r="F9" s="4"/>
      <c r="G9" s="4"/>
      <c r="H9" s="468"/>
    </row>
    <row r="10" spans="1:10" ht="6" customHeight="1" x14ac:dyDescent="0.25">
      <c r="B10" s="104"/>
    </row>
    <row r="11" spans="1:10" ht="18" customHeight="1" x14ac:dyDescent="0.25">
      <c r="B11" s="110" t="s">
        <v>125</v>
      </c>
      <c r="C11" s="111" t="s">
        <v>126</v>
      </c>
      <c r="D11" s="112" t="s">
        <v>127</v>
      </c>
      <c r="E11" s="609" t="s">
        <v>128</v>
      </c>
      <c r="F11" s="113" t="s">
        <v>129</v>
      </c>
      <c r="G11" s="611" t="s">
        <v>130</v>
      </c>
      <c r="H11" s="613" t="s">
        <v>301</v>
      </c>
    </row>
    <row r="12" spans="1:10" ht="16.5" customHeight="1" x14ac:dyDescent="0.25">
      <c r="B12" s="114"/>
      <c r="C12" s="115" t="s">
        <v>131</v>
      </c>
      <c r="D12" s="116" t="s">
        <v>132</v>
      </c>
      <c r="E12" s="610"/>
      <c r="F12" s="117" t="s">
        <v>133</v>
      </c>
      <c r="G12" s="612"/>
      <c r="H12" s="614"/>
    </row>
    <row r="13" spans="1:10" ht="18.75" customHeight="1" x14ac:dyDescent="0.25">
      <c r="B13" s="143"/>
      <c r="C13" s="105">
        <f>'Dados Operacionais'!$K$50</f>
        <v>0</v>
      </c>
      <c r="D13" s="105" t="e">
        <f>+E44</f>
        <v>#VALUE!</v>
      </c>
      <c r="E13" s="405">
        <f>+'Custo Total com Tributos'!I61</f>
        <v>0</v>
      </c>
      <c r="F13" s="107">
        <f>'Dados Operacionais'!$K$74</f>
        <v>0</v>
      </c>
      <c r="G13" s="405" t="e">
        <f>F13/C13</f>
        <v>#DIV/0!</v>
      </c>
      <c r="H13" s="405" t="e">
        <f>ROUND(+D13/F13,2)</f>
        <v>#VALUE!</v>
      </c>
    </row>
    <row r="14" spans="1:10" ht="15.75" x14ac:dyDescent="0.25">
      <c r="B14" s="103"/>
      <c r="C14" s="105"/>
      <c r="D14" s="105"/>
      <c r="E14" s="106"/>
      <c r="F14" s="107"/>
      <c r="G14" s="106"/>
      <c r="H14" s="405"/>
    </row>
    <row r="16" spans="1:10" ht="18" customHeight="1" x14ac:dyDescent="0.25">
      <c r="A16" s="48" t="s">
        <v>275</v>
      </c>
      <c r="B16" s="4"/>
      <c r="C16" s="4"/>
      <c r="D16" s="47"/>
      <c r="E16" s="47"/>
      <c r="F16" s="4"/>
      <c r="G16" s="4"/>
      <c r="H16" s="509"/>
      <c r="J16" s="94"/>
    </row>
    <row r="17" spans="2:14" ht="5.25" customHeight="1" x14ac:dyDescent="0.2"/>
    <row r="18" spans="2:14" ht="18" customHeight="1" x14ac:dyDescent="0.2">
      <c r="B18" s="615" t="s">
        <v>8</v>
      </c>
      <c r="C18" s="615"/>
      <c r="D18" s="616"/>
      <c r="E18" s="118" t="s">
        <v>65</v>
      </c>
      <c r="F18" s="123" t="s">
        <v>66</v>
      </c>
      <c r="G18" s="118" t="s">
        <v>134</v>
      </c>
      <c r="H18" s="118" t="s">
        <v>113</v>
      </c>
      <c r="J18"/>
      <c r="K18"/>
      <c r="L18"/>
      <c r="M18"/>
      <c r="N18"/>
    </row>
    <row r="19" spans="2:14" ht="15" x14ac:dyDescent="0.2">
      <c r="B19" s="137" t="s">
        <v>77</v>
      </c>
      <c r="C19" s="132"/>
      <c r="D19" s="133"/>
      <c r="E19" s="125">
        <f>'Custo Total com Tributos'!H13</f>
        <v>0</v>
      </c>
      <c r="F19" s="126">
        <f>+'Custo Total com Tributos'!I13</f>
        <v>0</v>
      </c>
      <c r="G19" s="128" t="e">
        <f>E19/'Dados Operacionais'!$K$14</f>
        <v>#DIV/0!</v>
      </c>
      <c r="H19" s="130" t="e">
        <f t="shared" ref="H19:H33" si="0">E19/$E$44</f>
        <v>#VALUE!</v>
      </c>
      <c r="I19" s="401"/>
      <c r="J19"/>
      <c r="K19"/>
      <c r="L19"/>
      <c r="M19"/>
      <c r="N19"/>
    </row>
    <row r="20" spans="2:14" ht="15" x14ac:dyDescent="0.2">
      <c r="B20" s="491" t="str">
        <f>+'Custo Total com Tributos'!D14</f>
        <v>DESPESAS COM ARLA 32</v>
      </c>
      <c r="C20" s="134"/>
      <c r="D20" s="135"/>
      <c r="E20" s="492">
        <f>+'Custo Total com Tributos'!H14</f>
        <v>0</v>
      </c>
      <c r="F20" s="493">
        <f>+'Custo Total com Tributos'!I14</f>
        <v>0</v>
      </c>
      <c r="G20" s="129" t="e">
        <f>E20/'Dados Operacionais'!$K$14</f>
        <v>#DIV/0!</v>
      </c>
      <c r="H20" s="131" t="e">
        <f t="shared" si="0"/>
        <v>#VALUE!</v>
      </c>
      <c r="I20" s="401"/>
      <c r="J20"/>
      <c r="K20"/>
      <c r="L20"/>
      <c r="M20"/>
      <c r="N20"/>
    </row>
    <row r="21" spans="2:14" ht="15" x14ac:dyDescent="0.2">
      <c r="B21" s="138" t="s">
        <v>78</v>
      </c>
      <c r="C21" s="134"/>
      <c r="D21" s="135"/>
      <c r="E21" s="125">
        <f>'Custo Total com Tributos'!H15</f>
        <v>0</v>
      </c>
      <c r="F21" s="127">
        <f>+'Custo Total com Tributos'!I15</f>
        <v>0</v>
      </c>
      <c r="G21" s="129" t="e">
        <f>E21/'Dados Operacionais'!$K$14</f>
        <v>#DIV/0!</v>
      </c>
      <c r="H21" s="131" t="e">
        <f t="shared" si="0"/>
        <v>#VALUE!</v>
      </c>
      <c r="J21"/>
      <c r="K21"/>
      <c r="L21"/>
      <c r="M21"/>
      <c r="N21"/>
    </row>
    <row r="22" spans="2:14" ht="15" x14ac:dyDescent="0.2">
      <c r="B22" s="138" t="s">
        <v>79</v>
      </c>
      <c r="C22" s="134"/>
      <c r="D22" s="135"/>
      <c r="E22" s="125">
        <f>'Custo Total com Tributos'!H16</f>
        <v>0</v>
      </c>
      <c r="F22" s="127">
        <f>+'Custo Total com Tributos'!I16</f>
        <v>0</v>
      </c>
      <c r="G22" s="129" t="e">
        <f>E22/'Dados Operacionais'!$K$14</f>
        <v>#DIV/0!</v>
      </c>
      <c r="H22" s="131" t="e">
        <f t="shared" si="0"/>
        <v>#VALUE!</v>
      </c>
      <c r="J22"/>
      <c r="K22"/>
      <c r="L22"/>
      <c r="M22"/>
      <c r="N22"/>
    </row>
    <row r="23" spans="2:14" ht="15" x14ac:dyDescent="0.2">
      <c r="B23" s="138" t="s">
        <v>209</v>
      </c>
      <c r="C23" s="134"/>
      <c r="D23" s="135"/>
      <c r="E23" s="125">
        <f>'Custo Total com Tributos'!H17</f>
        <v>0</v>
      </c>
      <c r="F23" s="127">
        <f>+'Custo Total com Tributos'!I17</f>
        <v>0</v>
      </c>
      <c r="G23" s="129" t="e">
        <f>E23/'Dados Operacionais'!$K$14</f>
        <v>#DIV/0!</v>
      </c>
      <c r="H23" s="131" t="e">
        <f t="shared" si="0"/>
        <v>#VALUE!</v>
      </c>
      <c r="I23" s="80"/>
      <c r="J23"/>
      <c r="K23"/>
      <c r="L23"/>
      <c r="M23"/>
      <c r="N23"/>
    </row>
    <row r="24" spans="2:14" ht="15" x14ac:dyDescent="0.2">
      <c r="B24" s="491" t="str">
        <f>+'Custo Total com Tributos'!D18</f>
        <v>DESPESAS COM CUSTOS AMBIENTAIS</v>
      </c>
      <c r="C24" s="134"/>
      <c r="D24" s="135"/>
      <c r="E24" s="492">
        <f>+'Custo Total com Tributos'!H18</f>
        <v>0</v>
      </c>
      <c r="F24" s="493">
        <f>+'Custo Total com Tributos'!I18</f>
        <v>0</v>
      </c>
      <c r="G24" s="129" t="e">
        <f>E24/'Dados Operacionais'!$K$14</f>
        <v>#DIV/0!</v>
      </c>
      <c r="H24" s="131" t="e">
        <f t="shared" si="0"/>
        <v>#VALUE!</v>
      </c>
      <c r="I24" s="80"/>
      <c r="J24"/>
      <c r="K24"/>
      <c r="L24"/>
      <c r="M24"/>
      <c r="N24"/>
    </row>
    <row r="25" spans="2:14" ht="15" x14ac:dyDescent="0.2">
      <c r="B25" s="139" t="s">
        <v>228</v>
      </c>
      <c r="C25" s="119"/>
      <c r="D25" s="135"/>
      <c r="E25" s="125">
        <f>('Custos Fixos'!H11+'Custos Fixos'!H12+'Custos Fixos'!H13+'Custos Fixos'!H14)/(1-'Custo Total com Tributos'!$H$6)</f>
        <v>0</v>
      </c>
      <c r="F25" s="127" t="e">
        <f>E25/$C$13</f>
        <v>#DIV/0!</v>
      </c>
      <c r="G25" s="129" t="e">
        <f>E25/'Dados Operacionais'!$K$14</f>
        <v>#DIV/0!</v>
      </c>
      <c r="H25" s="131" t="e">
        <f t="shared" si="0"/>
        <v>#VALUE!</v>
      </c>
      <c r="I25" s="410"/>
      <c r="J25"/>
      <c r="K25"/>
      <c r="L25"/>
      <c r="M25"/>
      <c r="N25"/>
    </row>
    <row r="26" spans="2:14" ht="15" x14ac:dyDescent="0.2">
      <c r="B26" s="139" t="s">
        <v>135</v>
      </c>
      <c r="C26" s="119"/>
      <c r="D26" s="135"/>
      <c r="E26" s="125">
        <f>'Custos Fixos'!H15/(1-'Custo Total com Tributos'!$H$6)</f>
        <v>0</v>
      </c>
      <c r="F26" s="127" t="e">
        <f>E26/$C$13</f>
        <v>#DIV/0!</v>
      </c>
      <c r="G26" s="129" t="e">
        <f>E26/'Dados Operacionais'!$K$14</f>
        <v>#DIV/0!</v>
      </c>
      <c r="H26" s="131" t="e">
        <f t="shared" si="0"/>
        <v>#VALUE!</v>
      </c>
      <c r="I26" s="401"/>
      <c r="J26" s="527"/>
      <c r="K26"/>
      <c r="L26"/>
      <c r="M26"/>
      <c r="N26"/>
    </row>
    <row r="27" spans="2:14" ht="15" x14ac:dyDescent="0.2">
      <c r="B27" s="139" t="s">
        <v>136</v>
      </c>
      <c r="C27" s="119"/>
      <c r="D27" s="135"/>
      <c r="E27" s="125">
        <f>'Custos Fixos'!H16/(1-'Custo Total com Tributos'!$H$6)</f>
        <v>0</v>
      </c>
      <c r="F27" s="127" t="e">
        <f>E27/$C$13</f>
        <v>#DIV/0!</v>
      </c>
      <c r="G27" s="129" t="e">
        <f>E27/'Dados Operacionais'!$K$14</f>
        <v>#DIV/0!</v>
      </c>
      <c r="H27" s="131" t="e">
        <f t="shared" si="0"/>
        <v>#VALUE!</v>
      </c>
      <c r="I27" s="108"/>
      <c r="J27"/>
      <c r="K27"/>
      <c r="L27"/>
      <c r="M27"/>
      <c r="N27"/>
    </row>
    <row r="28" spans="2:14" ht="15" x14ac:dyDescent="0.2">
      <c r="B28" s="139" t="s">
        <v>259</v>
      </c>
      <c r="C28" s="119"/>
      <c r="D28" s="135"/>
      <c r="E28" s="125">
        <f>'Custo Total com Tributos'!H25</f>
        <v>0</v>
      </c>
      <c r="F28" s="127">
        <f>+'Custo Total com Tributos'!I25</f>
        <v>0</v>
      </c>
      <c r="G28" s="129" t="e">
        <f>E28/('Dados Operacionais'!$H$14+'Dados Operacionais'!$J$14)</f>
        <v>#DIV/0!</v>
      </c>
      <c r="H28" s="131" t="e">
        <f t="shared" si="0"/>
        <v>#VALUE!</v>
      </c>
      <c r="J28"/>
      <c r="K28"/>
      <c r="L28"/>
      <c r="M28"/>
      <c r="N28"/>
    </row>
    <row r="29" spans="2:14" ht="15" x14ac:dyDescent="0.2">
      <c r="B29" s="139" t="s">
        <v>229</v>
      </c>
      <c r="C29" s="119"/>
      <c r="D29" s="135"/>
      <c r="E29" s="125">
        <f>'Custo Total com Tributos'!H26</f>
        <v>0</v>
      </c>
      <c r="F29" s="127">
        <f>+'Custo Total com Tributos'!I26</f>
        <v>0</v>
      </c>
      <c r="G29" s="129" t="e">
        <f>E29/('Dados Operacionais'!$H$14+'Dados Operacionais'!$J$14)</f>
        <v>#DIV/0!</v>
      </c>
      <c r="H29" s="131" t="e">
        <f t="shared" si="0"/>
        <v>#VALUE!</v>
      </c>
      <c r="J29"/>
      <c r="K29"/>
      <c r="L29"/>
      <c r="M29"/>
      <c r="N29"/>
    </row>
    <row r="30" spans="2:14" ht="15" x14ac:dyDescent="0.2">
      <c r="B30" s="139" t="s">
        <v>101</v>
      </c>
      <c r="C30" s="119"/>
      <c r="D30" s="135"/>
      <c r="E30" s="125">
        <f>'Custo Total com Tributos'!H27</f>
        <v>0</v>
      </c>
      <c r="F30" s="127">
        <f>+'Custo Total com Tributos'!I27</f>
        <v>0</v>
      </c>
      <c r="G30" s="129" t="e">
        <f>E30/'Dados Operacionais'!$K$14</f>
        <v>#DIV/0!</v>
      </c>
      <c r="H30" s="131" t="e">
        <f t="shared" si="0"/>
        <v>#VALUE!</v>
      </c>
      <c r="I30" s="108"/>
      <c r="J30" s="474"/>
      <c r="K30"/>
      <c r="L30"/>
      <c r="M30"/>
      <c r="N30"/>
    </row>
    <row r="31" spans="2:14" ht="15" x14ac:dyDescent="0.2">
      <c r="B31" s="139" t="s">
        <v>102</v>
      </c>
      <c r="C31" s="119"/>
      <c r="D31" s="135"/>
      <c r="E31" s="125">
        <f>'Custo Total com Tributos'!H28</f>
        <v>0</v>
      </c>
      <c r="F31" s="127">
        <f>+'Custo Total com Tributos'!I28</f>
        <v>0</v>
      </c>
      <c r="G31" s="129" t="e">
        <f>E31/('Dados Operacionais'!$I$14+'Dados Operacionais'!$J$14)</f>
        <v>#DIV/0!</v>
      </c>
      <c r="H31" s="131" t="e">
        <f t="shared" si="0"/>
        <v>#VALUE!</v>
      </c>
      <c r="I31" s="108"/>
      <c r="J31" s="474"/>
      <c r="K31"/>
      <c r="L31"/>
      <c r="M31"/>
      <c r="N31"/>
    </row>
    <row r="32" spans="2:14" ht="15" x14ac:dyDescent="0.2">
      <c r="B32" s="139" t="s">
        <v>103</v>
      </c>
      <c r="C32" s="119"/>
      <c r="D32" s="135"/>
      <c r="E32" s="125">
        <f>'Custo Total com Tributos'!H34</f>
        <v>0</v>
      </c>
      <c r="F32" s="127">
        <f>+'Custo Total com Tributos'!I34</f>
        <v>0</v>
      </c>
      <c r="G32" s="129" t="e">
        <f>E32/('Dados Operacionais'!$H$14+'Dados Operacionais'!$J$14)</f>
        <v>#DIV/0!</v>
      </c>
      <c r="H32" s="131" t="e">
        <f t="shared" si="0"/>
        <v>#VALUE!</v>
      </c>
      <c r="J32" s="474"/>
      <c r="K32"/>
      <c r="L32"/>
      <c r="M32"/>
      <c r="N32"/>
    </row>
    <row r="33" spans="1:14" ht="15" x14ac:dyDescent="0.2">
      <c r="B33" s="505" t="s">
        <v>300</v>
      </c>
      <c r="C33" s="119"/>
      <c r="D33" s="135"/>
      <c r="E33" s="125">
        <f>+'Custo Total com Tributos'!H35</f>
        <v>0</v>
      </c>
      <c r="F33" s="127">
        <f>+'Custo Total com Tributos'!I35</f>
        <v>0</v>
      </c>
      <c r="G33" s="129">
        <f>+'Custo Total com Tributos'!J35</f>
        <v>0</v>
      </c>
      <c r="H33" s="131" t="e">
        <f t="shared" si="0"/>
        <v>#VALUE!</v>
      </c>
      <c r="I33" s="74"/>
      <c r="J33" s="474"/>
      <c r="K33"/>
      <c r="L33"/>
      <c r="M33"/>
      <c r="N33"/>
    </row>
    <row r="34" spans="1:14" ht="15" x14ac:dyDescent="0.2">
      <c r="B34" s="139" t="s">
        <v>297</v>
      </c>
      <c r="C34" s="119"/>
      <c r="D34" s="135"/>
      <c r="E34" s="125">
        <f>+'Custo Total com Tributos'!H36</f>
        <v>0</v>
      </c>
      <c r="F34" s="127">
        <f>+'Custo Total com Tributos'!I36</f>
        <v>0</v>
      </c>
      <c r="G34" s="129">
        <f>+'Custo Total com Tributos'!J36</f>
        <v>0</v>
      </c>
      <c r="H34" s="131" t="e">
        <f t="shared" ref="H34" si="1">E34/$E$44</f>
        <v>#VALUE!</v>
      </c>
      <c r="I34" s="74"/>
      <c r="J34" s="474"/>
      <c r="K34"/>
      <c r="L34"/>
      <c r="M34"/>
      <c r="N34"/>
    </row>
    <row r="35" spans="1:14" ht="15" x14ac:dyDescent="0.2">
      <c r="B35" s="139" t="s">
        <v>139</v>
      </c>
      <c r="C35" s="119"/>
      <c r="D35" s="135"/>
      <c r="E35" s="125">
        <f>'Custos Fixos'!H67/(1-'Custo Total com Tributos'!$H$6)</f>
        <v>0</v>
      </c>
      <c r="F35" s="127" t="e">
        <f>E35/$C$13</f>
        <v>#DIV/0!</v>
      </c>
      <c r="G35" s="129" t="e">
        <f>E35/'Dados Operacionais'!$K$14</f>
        <v>#DIV/0!</v>
      </c>
      <c r="H35" s="131" t="e">
        <f t="shared" ref="H35:H43" si="2">E35/$E$44</f>
        <v>#VALUE!</v>
      </c>
      <c r="I35" s="608"/>
      <c r="J35"/>
      <c r="K35"/>
      <c r="L35"/>
      <c r="M35"/>
      <c r="N35"/>
    </row>
    <row r="36" spans="1:14" ht="15" x14ac:dyDescent="0.2">
      <c r="B36" s="139" t="s">
        <v>140</v>
      </c>
      <c r="C36" s="119"/>
      <c r="D36" s="135"/>
      <c r="E36" s="125">
        <f>'Custos Fixos'!H68/(1-'Custo Total com Tributos'!$H$6)</f>
        <v>0</v>
      </c>
      <c r="F36" s="127" t="e">
        <f>E36/$C$13</f>
        <v>#DIV/0!</v>
      </c>
      <c r="G36" s="129" t="e">
        <f>E36/'Dados Operacionais'!$K$14</f>
        <v>#DIV/0!</v>
      </c>
      <c r="H36" s="131" t="e">
        <f t="shared" si="2"/>
        <v>#VALUE!</v>
      </c>
      <c r="I36" s="608"/>
      <c r="J36" s="474"/>
      <c r="K36"/>
      <c r="L36"/>
      <c r="M36"/>
      <c r="N36"/>
    </row>
    <row r="37" spans="1:14" ht="15" x14ac:dyDescent="0.2">
      <c r="B37" s="139" t="s">
        <v>299</v>
      </c>
      <c r="C37" s="119"/>
      <c r="D37" s="135"/>
      <c r="E37" s="125">
        <f>'Custos Fixos'!H69/(1-'Custo Total com Tributos'!$H$6)</f>
        <v>0</v>
      </c>
      <c r="F37" s="127" t="e">
        <f>E37/$C$13</f>
        <v>#DIV/0!</v>
      </c>
      <c r="G37" s="129" t="e">
        <f>E37/'Dados Operacionais'!$K$14</f>
        <v>#DIV/0!</v>
      </c>
      <c r="H37" s="131" t="e">
        <f t="shared" si="2"/>
        <v>#VALUE!</v>
      </c>
      <c r="I37" s="406"/>
      <c r="J37"/>
      <c r="K37"/>
      <c r="L37"/>
      <c r="M37"/>
      <c r="N37"/>
    </row>
    <row r="38" spans="1:14" ht="15" x14ac:dyDescent="0.2">
      <c r="B38" s="139" t="s">
        <v>104</v>
      </c>
      <c r="C38" s="119"/>
      <c r="D38" s="135"/>
      <c r="E38" s="125">
        <f>'Custo Total com Tributos'!H43</f>
        <v>0</v>
      </c>
      <c r="F38" s="127">
        <f>+'Custo Total com Tributos'!I43</f>
        <v>0</v>
      </c>
      <c r="G38" s="129" t="e">
        <f>E38/'Dados Operacionais'!$K$14</f>
        <v>#DIV/0!</v>
      </c>
      <c r="H38" s="131" t="e">
        <f t="shared" si="2"/>
        <v>#VALUE!</v>
      </c>
      <c r="J38"/>
      <c r="K38"/>
      <c r="L38"/>
      <c r="M38"/>
      <c r="N38"/>
    </row>
    <row r="39" spans="1:14" ht="15" x14ac:dyDescent="0.2">
      <c r="B39" s="139" t="s">
        <v>105</v>
      </c>
      <c r="C39" s="119"/>
      <c r="D39" s="135"/>
      <c r="E39" s="125">
        <f>'Custo Total com Tributos'!H44</f>
        <v>0</v>
      </c>
      <c r="F39" s="127">
        <f>+'Custo Total com Tributos'!I44</f>
        <v>0</v>
      </c>
      <c r="G39" s="129" t="e">
        <f>E39/('Dados Operacionais'!$H$14+'Dados Operacionais'!$J$14)</f>
        <v>#DIV/0!</v>
      </c>
      <c r="H39" s="131" t="e">
        <f t="shared" si="2"/>
        <v>#VALUE!</v>
      </c>
      <c r="J39"/>
      <c r="K39"/>
      <c r="L39"/>
      <c r="M39"/>
      <c r="N39"/>
    </row>
    <row r="40" spans="1:14" ht="15" x14ac:dyDescent="0.2">
      <c r="B40" s="139" t="s">
        <v>106</v>
      </c>
      <c r="C40" s="119"/>
      <c r="D40" s="135"/>
      <c r="E40" s="125" t="e">
        <f>'Custo Total com Tributos'!H50</f>
        <v>#VALUE!</v>
      </c>
      <c r="F40" s="127">
        <f>+'Custo Total com Tributos'!I50</f>
        <v>0</v>
      </c>
      <c r="G40" s="129" t="e">
        <f>E40/'Dados Operacionais'!$K$14</f>
        <v>#VALUE!</v>
      </c>
      <c r="H40" s="131" t="e">
        <f t="shared" si="2"/>
        <v>#VALUE!</v>
      </c>
      <c r="J40"/>
      <c r="K40"/>
      <c r="L40"/>
      <c r="M40"/>
      <c r="N40"/>
    </row>
    <row r="41" spans="1:14" ht="15" x14ac:dyDescent="0.2">
      <c r="B41" s="139" t="s">
        <v>107</v>
      </c>
      <c r="C41" s="119"/>
      <c r="D41" s="135"/>
      <c r="E41" s="125">
        <f>'Custo Total com Tributos'!H51</f>
        <v>0</v>
      </c>
      <c r="F41" s="127">
        <f>+'Custo Total com Tributos'!I51</f>
        <v>0</v>
      </c>
      <c r="G41" s="129" t="e">
        <f>E41/('Dados Operacionais'!$H$14+'Dados Operacionais'!$J$14)</f>
        <v>#DIV/0!</v>
      </c>
      <c r="H41" s="131" t="e">
        <f t="shared" si="2"/>
        <v>#VALUE!</v>
      </c>
      <c r="J41"/>
      <c r="K41"/>
      <c r="L41"/>
      <c r="M41"/>
      <c r="N41"/>
    </row>
    <row r="42" spans="1:14" ht="15" x14ac:dyDescent="0.2">
      <c r="B42" s="498" t="s">
        <v>108</v>
      </c>
      <c r="C42" s="119"/>
      <c r="D42" s="135"/>
      <c r="E42" s="492">
        <f>'Custo Total com Tributos'!H52</f>
        <v>0</v>
      </c>
      <c r="F42" s="493">
        <f>+'Custo Total com Tributos'!I52</f>
        <v>0</v>
      </c>
      <c r="G42" s="494" t="e">
        <f>E42/('Dados Operacionais'!$H$14+'Dados Operacionais'!$J$14)</f>
        <v>#DIV/0!</v>
      </c>
      <c r="H42" s="495" t="e">
        <f t="shared" si="2"/>
        <v>#VALUE!</v>
      </c>
      <c r="J42"/>
      <c r="K42"/>
      <c r="L42"/>
      <c r="M42"/>
      <c r="N42"/>
    </row>
    <row r="43" spans="1:14" ht="15" x14ac:dyDescent="0.2">
      <c r="B43" s="140" t="str">
        <f>+'Custo Total com Tributos'!D57</f>
        <v>REMUNERAÇÃO PELA PRESTAÇÃO DOS SERVIÇOS</v>
      </c>
      <c r="C43" s="136"/>
      <c r="D43" s="496"/>
      <c r="E43" s="499" t="e">
        <f>+'Custo Total com Tributos'!H57</f>
        <v>#VALUE!</v>
      </c>
      <c r="F43" s="497">
        <f>+'Custo Total com Tributos'!I57</f>
        <v>0</v>
      </c>
      <c r="G43" s="494" t="e">
        <f>E43/('Dados Operacionais'!$H$14+'Dados Operacionais'!$J$14)</f>
        <v>#VALUE!</v>
      </c>
      <c r="H43" s="131" t="e">
        <f t="shared" si="2"/>
        <v>#VALUE!</v>
      </c>
      <c r="J43"/>
      <c r="K43"/>
      <c r="L43"/>
      <c r="M43"/>
      <c r="N43"/>
    </row>
    <row r="44" spans="1:14" ht="15.75" x14ac:dyDescent="0.25">
      <c r="B44" s="606" t="s">
        <v>141</v>
      </c>
      <c r="C44" s="606"/>
      <c r="D44" s="607"/>
      <c r="E44" s="120" t="e">
        <f>SUM(E19:E43)</f>
        <v>#VALUE!</v>
      </c>
      <c r="F44" s="124" t="e">
        <f>SUM(F19:F43)</f>
        <v>#DIV/0!</v>
      </c>
      <c r="G44" s="121" t="e">
        <f>SUM(G19:G42)</f>
        <v>#DIV/0!</v>
      </c>
      <c r="H44" s="122" t="e">
        <f>SUM(H19:H43)</f>
        <v>#VALUE!</v>
      </c>
    </row>
    <row r="45" spans="1:14" ht="12.75" x14ac:dyDescent="0.2">
      <c r="B45" s="97"/>
      <c r="D45" s="95"/>
      <c r="E45" s="422"/>
      <c r="F45" s="82"/>
      <c r="G45" s="54"/>
      <c r="H45" s="94"/>
    </row>
    <row r="46" spans="1:14" ht="18" customHeight="1" x14ac:dyDescent="0.2">
      <c r="B46" s="97"/>
      <c r="D46" s="95"/>
      <c r="E46" s="539"/>
      <c r="F46" s="82"/>
      <c r="G46" s="54"/>
      <c r="H46" s="381"/>
      <c r="I46" s="415"/>
    </row>
    <row r="47" spans="1:14" ht="13.35" customHeight="1" x14ac:dyDescent="0.25">
      <c r="A47" s="48" t="s">
        <v>276</v>
      </c>
      <c r="B47" s="4"/>
      <c r="C47" s="4"/>
      <c r="D47" s="47"/>
      <c r="E47" s="47"/>
      <c r="F47" s="4"/>
      <c r="G47" s="4"/>
      <c r="H47" s="4"/>
    </row>
    <row r="48" spans="1:14" ht="13.35" customHeight="1" x14ac:dyDescent="0.25">
      <c r="B48" s="104"/>
    </row>
    <row r="49" spans="2:10" ht="15.75" x14ac:dyDescent="0.25">
      <c r="B49" s="3" t="s">
        <v>137</v>
      </c>
      <c r="C49" s="511" t="e">
        <f>+'Custo Total com Tributos'!H19/'Custo Total com Tributos'!H65</f>
        <v>#VALUE!</v>
      </c>
      <c r="E49" s="457" t="s">
        <v>313</v>
      </c>
      <c r="F49" s="346"/>
      <c r="G49" s="346"/>
      <c r="H49" s="347"/>
    </row>
    <row r="50" spans="2:10" ht="15.75" x14ac:dyDescent="0.25">
      <c r="B50" s="3" t="s">
        <v>138</v>
      </c>
      <c r="C50" s="511" t="e">
        <f>(+'Custo Total com Tributos'!H29+'Custo Total com Tributos'!H38+'Custo Total com Tributos'!H45+'Custo Total com Tributos'!H53)/'Custo Total com Tributos'!H65</f>
        <v>#VALUE!</v>
      </c>
      <c r="E50" s="350" t="s">
        <v>220</v>
      </c>
      <c r="F50" s="119"/>
      <c r="G50" s="503" t="s">
        <v>307</v>
      </c>
      <c r="H50" s="348"/>
    </row>
    <row r="51" spans="2:10" ht="15.75" x14ac:dyDescent="0.25">
      <c r="B51" s="467" t="s">
        <v>260</v>
      </c>
      <c r="C51" s="512" t="e">
        <f>+'Custo Total com Tributos'!H57/'Custo Total com Tributos'!H65</f>
        <v>#VALUE!</v>
      </c>
      <c r="E51" s="506" t="s">
        <v>220</v>
      </c>
      <c r="F51" s="4"/>
      <c r="G51" s="507" t="s">
        <v>327</v>
      </c>
      <c r="H51" s="349"/>
    </row>
    <row r="52" spans="2:10" ht="15.75" x14ac:dyDescent="0.25">
      <c r="B52" s="109" t="s">
        <v>142</v>
      </c>
      <c r="C52" s="511" t="e">
        <f>SUM(C49:C51)</f>
        <v>#VALUE!</v>
      </c>
      <c r="F52" s="74"/>
    </row>
    <row r="53" spans="2:10" ht="12.75" x14ac:dyDescent="0.2">
      <c r="F53" s="416"/>
    </row>
    <row r="54" spans="2:10" ht="13.35" customHeight="1" x14ac:dyDescent="0.2">
      <c r="C54" s="513"/>
      <c r="E54" s="71"/>
      <c r="J54" s="44"/>
    </row>
    <row r="55" spans="2:10" ht="13.35" customHeight="1" x14ac:dyDescent="0.2">
      <c r="E55" s="534"/>
    </row>
    <row r="57" spans="2:10" ht="13.35" customHeight="1" x14ac:dyDescent="0.2">
      <c r="G57" s="410"/>
      <c r="J57" s="44"/>
    </row>
    <row r="58" spans="2:10" ht="13.35" customHeight="1" x14ac:dyDescent="0.2">
      <c r="G58" s="44"/>
    </row>
    <row r="60" spans="2:10" ht="13.35" customHeight="1" x14ac:dyDescent="0.2">
      <c r="G60" s="44"/>
    </row>
    <row r="61" spans="2:10" ht="13.35" customHeight="1" x14ac:dyDescent="0.2">
      <c r="G61" s="413"/>
    </row>
  </sheetData>
  <mergeCells count="11">
    <mergeCell ref="B1:H1"/>
    <mergeCell ref="B2:H2"/>
    <mergeCell ref="B3:H3"/>
    <mergeCell ref="B4:H4"/>
    <mergeCell ref="B5:H5"/>
    <mergeCell ref="B44:D44"/>
    <mergeCell ref="I35:I36"/>
    <mergeCell ref="E11:E12"/>
    <mergeCell ref="G11:G12"/>
    <mergeCell ref="H11:H12"/>
    <mergeCell ref="B18:D18"/>
  </mergeCells>
  <phoneticPr fontId="0" type="noConversion"/>
  <printOptions horizontalCentered="1" verticalCentered="1"/>
  <pageMargins left="0" right="0" top="0.59055118110236227" bottom="0.19685039370078741" header="0.59055118110236227" footer="0.51181102362204722"/>
  <pageSetup paperSize="9" scale="6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Dados Gerais</vt:lpstr>
      <vt:lpstr>Dados Operacionais</vt:lpstr>
      <vt:lpstr>Custos Variáveis</vt:lpstr>
      <vt:lpstr>Custos Fixos</vt:lpstr>
      <vt:lpstr>Custos de Capital</vt:lpstr>
      <vt:lpstr>Custos Fixos II</vt:lpstr>
      <vt:lpstr>Custo Total Sem Tributos</vt:lpstr>
      <vt:lpstr>Custo Total com Tributos</vt:lpstr>
      <vt:lpstr>Resumo Geral Sem Investimentos</vt:lpstr>
      <vt:lpstr>'Custo Total com Tributos'!Area_de_impressao</vt:lpstr>
      <vt:lpstr>'Custo Total Sem Tributos'!Area_de_impressao</vt:lpstr>
      <vt:lpstr>'Custos de Capital'!Area_de_impressao</vt:lpstr>
      <vt:lpstr>'Custos Fixos'!Area_de_impressao</vt:lpstr>
      <vt:lpstr>'Custos Fixos II'!Area_de_impressao</vt:lpstr>
      <vt:lpstr>'Custos Variáveis'!Area_de_impressao</vt:lpstr>
      <vt:lpstr>'Dados Gerais'!Area_de_impressao</vt:lpstr>
      <vt:lpstr>'Dados Operacionais'!Area_de_impressao</vt:lpstr>
      <vt:lpstr>'Resumo Geral Sem Investimentos'!Area_de_impressao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</dc:title>
  <dc:creator>Marta Florindo</dc:creator>
  <cp:lastModifiedBy>Marta Florindo</cp:lastModifiedBy>
  <cp:lastPrinted>2019-02-01T21:50:03Z</cp:lastPrinted>
  <dcterms:created xsi:type="dcterms:W3CDTF">2002-09-15T18:06:38Z</dcterms:created>
  <dcterms:modified xsi:type="dcterms:W3CDTF">2019-03-26T13:52:18Z</dcterms:modified>
</cp:coreProperties>
</file>